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ent Roll" sheetId="2" state="visible" r:id="rId4"/>
    <sheet name="Cash Flow" sheetId="3" state="visible" r:id="rId5"/>
    <sheet name="Debt &amp; Amort" sheetId="4" state="visible" r:id="rId6"/>
    <sheet name="Returns" sheetId="5" state="visible" r:id="rId7"/>
    <sheet name="IRR Sensitivity" sheetId="6" state="visible" r:id="rId8"/>
    <sheet name="EM Sensitivity" sheetId="7" state="visible" r:id="rId9"/>
    <sheet name="Assumptions" sheetId="8" state="visible" r:id="rId10"/>
  </sheets>
  <definedNames>
    <definedName function="false" hidden="false" localSheetId="0" name="_xlnm.Print_Area" vbProcedure="false">Summary!$A$1:$F$29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<sst xmlns="http://schemas.openxmlformats.org/spreadsheetml/2006/main" count="659" uniqueCount="337">
  <si>
    <t xml:space="preserve">MULTIFAMILY ACQUISITION MODEL</t>
  </si>
  <si>
    <t xml:space="preserve">Epps.ai · AI-Powered Real Estate Analysis</t>
  </si>
  <si>
    <t xml:space="preserve">DEAL INPUTS</t>
  </si>
  <si>
    <t xml:space="preserve">Asset Name</t>
  </si>
  <si>
    <t xml:space="preserve">Market / MSA</t>
  </si>
  <si>
    <t xml:space="preserve">Year Built</t>
  </si>
  <si>
    <t xml:space="preserve">Asset Class</t>
  </si>
  <si>
    <t xml:space="preserve">Purchase Price</t>
  </si>
  <si>
    <t xml:space="preserve">Hold Period</t>
  </si>
  <si>
    <t xml:space="preserve">Total Units</t>
  </si>
  <si>
    <t xml:space="preserve">Value-Add?</t>
  </si>
  <si>
    <t xml:space="preserve">KEY PERFORMANCE METRICS</t>
  </si>
  <si>
    <t xml:space="preserve">Unlevered IRR</t>
  </si>
  <si>
    <t xml:space="preserve">Price Per Unit</t>
  </si>
  <si>
    <t xml:space="preserve">Levered IRR</t>
  </si>
  <si>
    <t xml:space="preserve">Going-In Cap Rate</t>
  </si>
  <si>
    <t xml:space="preserve">Implied Value (at target cap)</t>
  </si>
  <si>
    <t xml:space="preserve">Total Equity Required</t>
  </si>
  <si>
    <t xml:space="preserve">Avg Cash-on-Cash</t>
  </si>
  <si>
    <t xml:space="preserve">Loan Amount</t>
  </si>
  <si>
    <t xml:space="preserve">LP IRR (est.)</t>
  </si>
  <si>
    <t xml:space="preserve">LTV</t>
  </si>
  <si>
    <t xml:space="preserve">GP IRR (est.)</t>
  </si>
  <si>
    <t xml:space="preserve">DSCR Year 1</t>
  </si>
  <si>
    <t xml:space="preserve">Year 1 NOI</t>
  </si>
  <si>
    <t xml:space="preserve">INCOME &amp; EXIT SUMMARY</t>
  </si>
  <si>
    <t xml:space="preserve">Year 1 Gross Revenue</t>
  </si>
  <si>
    <t xml:space="preserve">Year 1 EGR</t>
  </si>
  <si>
    <t xml:space="preserve">Exit NOI</t>
  </si>
  <si>
    <t xml:space="preserve">Exit Value</t>
  </si>
  <si>
    <t xml:space="preserve">Net Equity Proceeds</t>
  </si>
  <si>
    <t xml:space="preserve">◆  VALUATION CROSS-CHECK</t>
  </si>
  <si>
    <t xml:space="preserve">PP is an input (what you are paying). Implied Value shows what the NOI justifies at your target cap rate.</t>
  </si>
  <si>
    <t xml:space="preserve">Implied Value (Y1 NOI ÷ Exit Cap Rate)</t>
  </si>
  <si>
    <t xml:space="preserve">Target exit cap rate applied to Y1 NOI</t>
  </si>
  <si>
    <t xml:space="preserve">Purchase Price vs Implied Value ($)</t>
  </si>
  <si>
    <t xml:space="preserve">Negative = buying below implied value (discount). Positive = paying premium.</t>
  </si>
  <si>
    <t xml:space="preserve">Actual Going-In Cap Rate (on PP)</t>
  </si>
  <si>
    <t xml:space="preserve">Y1 NOI ÷ Purchase Price</t>
  </si>
  <si>
    <t xml:space="preserve">Cap Rate Spread (Actual − Target)</t>
  </si>
  <si>
    <t xml:space="preserve">Positive = buying at higher cap (below implied value). Negative = buying below cap (premium).</t>
  </si>
  <si>
    <t xml:space="preserve">EPPS.AI · AI Operating System for Real Estate Investment &amp; Development · epps.ai</t>
  </si>
  <si>
    <t xml:space="preserve">RENT ROLL — UNIT TYPE SUMMARY</t>
  </si>
  <si>
    <t xml:space="preserve">Blue = inputs · Black = formulas · Totals auto-calculate from unit rows above</t>
  </si>
  <si>
    <t xml:space="preserve">Unit Type</t>
  </si>
  <si>
    <t xml:space="preserve">Unit #</t>
  </si>
  <si>
    <t xml:space="preserve">Beds</t>
  </si>
  <si>
    <t xml:space="preserve">Baths</t>
  </si>
  <si>
    <t xml:space="preserve">SF / Unit</t>
  </si>
  <si>
    <t xml:space="preserve">In-Place Rent/Mo</t>
  </si>
  <si>
    <t xml:space="preserve">Market Rent/Mo</t>
  </si>
  <si>
    <t xml:space="preserve">Occupancy Status</t>
  </si>
  <si>
    <t xml:space="preserve">Lease Start</t>
  </si>
  <si>
    <t xml:space="preserve">Lease End</t>
  </si>
  <si>
    <t xml:space="preserve">Annual EGR (In-Place)</t>
  </si>
  <si>
    <t xml:space="preserve">Annual Revenue — Market Potential</t>
  </si>
  <si>
    <t xml:space="preserve">MTM Upside %</t>
  </si>
  <si>
    <t xml:space="preserve">Studio</t>
  </si>
  <si>
    <t xml:space="preserve">Vacant</t>
  </si>
  <si>
    <t xml:space="preserve">Occupied</t>
  </si>
  <si>
    <t xml:space="preserve">1 BD / 1 BA</t>
  </si>
  <si>
    <t xml:space="preserve">2 BD / 2 BA</t>
  </si>
  <si>
    <t xml:space="preserve">3 BD / 2 BA</t>
  </si>
  <si>
    <t xml:space="preserve">TOTAL / WEIGHTED AVG</t>
  </si>
  <si>
    <t xml:space="preserve">MULTI-YEAR CASH FLOW PROJECTION (10 YEARS)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</si>
  <si>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</si>
  <si>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</si>
  <si>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</si>
  <si>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</si>
  <si>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</si>
  <si>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</si>
  <si>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</si>
  <si>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</si>
  <si>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</si>
  <si>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</si>
  <si>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</si>
  <si>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Gross Potential Revenue</t>
  </si>
  <si>
    <t xml:space="preserve">Vacancy Loss (embedded in Rent Roll EGR)</t>
  </si>
  <si>
    <t xml:space="preserve">Other Income</t>
  </si>
  <si>
    <t xml:space="preserve">Value-Add Rent Premium</t>
  </si>
  <si>
    <t xml:space="preserve">Effective Gross Revenue (EGR)</t>
  </si>
  <si>
    <t xml:space="preserve">Operating Expenses (incl. Mgmt)</t>
  </si>
  <si>
    <t xml:space="preserve">Net Operating Income (NOI) - $</t>
  </si>
  <si>
    <t xml:space="preserve">Net Operating Income (NOI) - %</t>
  </si>
  <si>
    <t xml:space="preserve">Debt Service</t>
  </si>
  <si>
    <t xml:space="preserve">Renovation CapEx</t>
  </si>
  <si>
    <t xml:space="preserve">Asset Management Fee</t>
  </si>
  <si>
    <t xml:space="preserve">Cash Flow Before Tax</t>
  </si>
  <si>
    <t xml:space="preserve">Unlevered Cash Flow (NOI + CapEx)</t>
  </si>
  <si>
    <t xml:space="preserve">Cash-on-Cash Return %</t>
  </si>
  <si>
    <t xml:space="preserve">IRR Stream — Levered (Year 0 to 10)</t>
  </si>
  <si>
    <t xml:space="preserve">Levered IRR Stream →</t>
  </si>
  <si>
    <t xml:space="preserve">Unlevered IRR Stream →</t>
  </si>
  <si>
    <t xml:space="preserve">LP IRR Stream →</t>
  </si>
  <si>
    <t xml:space="preserve">GP IRR Stream →</t>
  </si>
  <si>
    <t xml:space="preserve">LP Dist. (operating) →</t>
  </si>
  <si>
    <t xml:space="preserve">GP Dist. (operating) →</t>
  </si>
  <si>
    <t xml:space="preserve">DEBT &amp; AMORTIZATION SCHEDULE</t>
  </si>
  <si>
    <t xml:space="preserve">LOAN SUMMARY</t>
  </si>
  <si>
    <t xml:space="preserve">Interest Rate</t>
  </si>
  <si>
    <t xml:space="preserve">I/O Period</t>
  </si>
  <si>
    <t xml:space="preserve">Amortization</t>
  </si>
  <si>
    <t xml:space="preserve">Loan Term</t>
  </si>
  <si>
    <t xml:space="preserve">Lender Fees</t>
  </si>
  <si>
    <t xml:space="preserve">Final Balance</t>
  </si>
  <si>
    <t xml:space="preserve">AMORTIZATION SCHEDULE (ANNUAL)</t>
  </si>
  <si>
    <t xml:space="preserve">Principal</t>
  </si>
  <si>
    <t xml:space="preserve">Interest</t>
  </si>
  <si>
    <t xml:space="preserve">Year-End Balance</t>
  </si>
  <si>
    <t xml:space="preserve">INVESTMENT RETURNS &amp; FEE SUMMARY</t>
  </si>
  <si>
    <t xml:space="preserve">Unlevered IRR: total basis (PP+closing+CapEx). LP/GP IRRs include pref+promote waterfall. Levered≈Unlevered = low leverage spread (cap rate ≈ debt cost).</t>
  </si>
  <si>
    <t xml:space="preserve">PROPERTY-LEVEL RETURNS</t>
  </si>
  <si>
    <t xml:space="preserve">Equity Multiple</t>
  </si>
  <si>
    <t xml:space="preserve">Average Cash-on-Cash</t>
  </si>
  <si>
    <t xml:space="preserve">Exit Cap Rate</t>
  </si>
  <si>
    <t xml:space="preserve">Loan Balance at Exit</t>
  </si>
  <si>
    <t xml:space="preserve">FEE-ADJUSTED RETURNS</t>
  </si>
  <si>
    <t xml:space="preserve">Acquisition Fee ($)</t>
  </si>
  <si>
    <t xml:space="preserve">Acquisition Fee (%)</t>
  </si>
  <si>
    <t xml:space="preserve">Annual AM Fee ($)</t>
  </si>
  <si>
    <t xml:space="preserve">Disposition Fee (%)</t>
  </si>
  <si>
    <t xml:space="preserve">Total Fee Load ($)</t>
  </si>
  <si>
    <t xml:space="preserve">PARTNERSHIP RETURNS</t>
  </si>
  <si>
    <t xml:space="preserve">GP Split (%)</t>
  </si>
  <si>
    <t xml:space="preserve">GP Equity ($)</t>
  </si>
  <si>
    <t xml:space="preserve">LP Equity ($)</t>
  </si>
  <si>
    <t xml:space="preserve">Preferred Return (%)</t>
  </si>
  <si>
    <t xml:space="preserve">LP Pref Return / Year ($)</t>
  </si>
  <si>
    <t xml:space="preserve">Estimated LP IRR</t>
  </si>
  <si>
    <t xml:space="preserve">Estimated GP IRR</t>
  </si>
  <si>
    <t xml:space="preserve">LEVERED IRR SENSITIVITY — RENT GROWTH vs EXIT CAP RATE</t>
  </si>
  <si>
    <t xml:space="preserve">Rows = Rent Growth Rate (0.25% increments starting 1.5%) · Columns = Exit Cap Rate (0.25% increments starting 4.75%)</t>
  </si>
  <si>
    <t xml:space="preserve">RG \ Cap Rate</t>
  </si>
  <si>
    <t xml:space="preserve">9.5%</t>
  </si>
  <si>
    <t xml:space="preserve">8.7%</t>
  </si>
  <si>
    <t xml:space="preserve">7.9%</t>
  </si>
  <si>
    <t xml:space="preserve">7.1%</t>
  </si>
  <si>
    <t xml:space="preserve">6.4%</t>
  </si>
  <si>
    <t xml:space="preserve">5.7%</t>
  </si>
  <si>
    <t xml:space="preserve">5.0%</t>
  </si>
  <si>
    <t xml:space="preserve">4.3%</t>
  </si>
  <si>
    <t xml:space="preserve">3.7%</t>
  </si>
  <si>
    <t xml:space="preserve">3.0%</t>
  </si>
  <si>
    <t xml:space="preserve">9.8%</t>
  </si>
  <si>
    <t xml:space="preserve">9.1%</t>
  </si>
  <si>
    <t xml:space="preserve">8.3%</t>
  </si>
  <si>
    <t xml:space="preserve">7.6%</t>
  </si>
  <si>
    <t xml:space="preserve">6.8%</t>
  </si>
  <si>
    <t xml:space="preserve">6.1%</t>
  </si>
  <si>
    <t xml:space="preserve">5.4%</t>
  </si>
  <si>
    <t xml:space="preserve">4.8%</t>
  </si>
  <si>
    <t xml:space="preserve">4.1%</t>
  </si>
  <si>
    <t xml:space="preserve">3.5%</t>
  </si>
  <si>
    <t xml:space="preserve">10.2%</t>
  </si>
  <si>
    <t xml:space="preserve">9.4%</t>
  </si>
  <si>
    <t xml:space="preserve">8.0%</t>
  </si>
  <si>
    <t xml:space="preserve">7.3%</t>
  </si>
  <si>
    <t xml:space="preserve">6.6%</t>
  </si>
  <si>
    <t xml:space="preserve">5.9%</t>
  </si>
  <si>
    <t xml:space="preserve">5.2%</t>
  </si>
  <si>
    <t xml:space="preserve">4.6%</t>
  </si>
  <si>
    <t xml:space="preserve">3.9%</t>
  </si>
  <si>
    <t xml:space="preserve">10.6%</t>
  </si>
  <si>
    <t xml:space="preserve">8.4%</t>
  </si>
  <si>
    <t xml:space="preserve">7.7%</t>
  </si>
  <si>
    <t xml:space="preserve">7.0%</t>
  </si>
  <si>
    <t xml:space="preserve">6.3%</t>
  </si>
  <si>
    <t xml:space="preserve">4.4%</t>
  </si>
  <si>
    <t xml:space="preserve">11.0%</t>
  </si>
  <si>
    <t xml:space="preserve">8.8%</t>
  </si>
  <si>
    <t xml:space="preserve">8.1%</t>
  </si>
  <si>
    <t xml:space="preserve">7.4%</t>
  </si>
  <si>
    <t xml:space="preserve">6.7%</t>
  </si>
  <si>
    <t xml:space="preserve">11.4%</t>
  </si>
  <si>
    <t xml:space="preserve">9.9%</t>
  </si>
  <si>
    <t xml:space="preserve">9.2%</t>
  </si>
  <si>
    <t xml:space="preserve">8.5%</t>
  </si>
  <si>
    <t xml:space="preserve">7.8%</t>
  </si>
  <si>
    <t xml:space="preserve">6.5%</t>
  </si>
  <si>
    <t xml:space="preserve">5.3%</t>
  </si>
  <si>
    <t xml:space="preserve">11.7%</t>
  </si>
  <si>
    <t xml:space="preserve">10.3%</t>
  </si>
  <si>
    <t xml:space="preserve">8.9%</t>
  </si>
  <si>
    <t xml:space="preserve">8.2%</t>
  </si>
  <si>
    <t xml:space="preserve">6.9%</t>
  </si>
  <si>
    <t xml:space="preserve">12.1%</t>
  </si>
  <si>
    <t xml:space="preserve">9.3%</t>
  </si>
  <si>
    <t xml:space="preserve">8.6%</t>
  </si>
  <si>
    <t xml:space="preserve">12.5%</t>
  </si>
  <si>
    <t xml:space="preserve">9.6%</t>
  </si>
  <si>
    <t xml:space="preserve">9.0%</t>
  </si>
  <si>
    <t xml:space="preserve">12.8%</t>
  </si>
  <si>
    <t xml:space="preserve">10.7%</t>
  </si>
  <si>
    <t xml:space="preserve">10.0%</t>
  </si>
  <si>
    <t xml:space="preserve">7.5%</t>
  </si>
  <si>
    <t xml:space="preserve">★ Gold border = base case assumption. Green ≥12% IRR / ≥2.0x EM. Amber = 8–12% IRR / 1.5–2.0x EM. Red = below threshold. Values computed by scaling exit NOI and operating CFs for each RG/cap scenario.</t>
  </si>
  <si>
    <t xml:space="preserve">EQUITY MULTIPLE SENSITIVITY — RENT GROWTH vs EXIT CAP RATE</t>
  </si>
  <si>
    <t xml:space="preserve">2.53x</t>
  </si>
  <si>
    <t xml:space="preserve">2.35x</t>
  </si>
  <si>
    <t xml:space="preserve">2.19x</t>
  </si>
  <si>
    <t xml:space="preserve">2.04x</t>
  </si>
  <si>
    <t xml:space="preserve">1.91x</t>
  </si>
  <si>
    <t xml:space="preserve">1.79x</t>
  </si>
  <si>
    <t xml:space="preserve">1.68x</t>
  </si>
  <si>
    <t xml:space="preserve">1.57x</t>
  </si>
  <si>
    <t xml:space="preserve">1.48x</t>
  </si>
  <si>
    <t xml:space="preserve">1.39x</t>
  </si>
  <si>
    <t xml:space="preserve">2.62x</t>
  </si>
  <si>
    <t xml:space="preserve">2.43x</t>
  </si>
  <si>
    <t xml:space="preserve">2.27x</t>
  </si>
  <si>
    <t xml:space="preserve">2.12x</t>
  </si>
  <si>
    <t xml:space="preserve">1.98x</t>
  </si>
  <si>
    <t xml:space="preserve">1.86x</t>
  </si>
  <si>
    <t xml:space="preserve">1.74x</t>
  </si>
  <si>
    <t xml:space="preserve">1.64x</t>
  </si>
  <si>
    <t xml:space="preserve">1.54x</t>
  </si>
  <si>
    <t xml:space="preserve">1.45x</t>
  </si>
  <si>
    <t xml:space="preserve">2.71x</t>
  </si>
  <si>
    <t xml:space="preserve">2.52x</t>
  </si>
  <si>
    <t xml:space="preserve">2.20x</t>
  </si>
  <si>
    <t xml:space="preserve">2.06x</t>
  </si>
  <si>
    <t xml:space="preserve">1.93x</t>
  </si>
  <si>
    <t xml:space="preserve">1.81x</t>
  </si>
  <si>
    <t xml:space="preserve">1.70x</t>
  </si>
  <si>
    <t xml:space="preserve">1.60x</t>
  </si>
  <si>
    <t xml:space="preserve">1.51x</t>
  </si>
  <si>
    <t xml:space="preserve">2.80x</t>
  </si>
  <si>
    <t xml:space="preserve">2.61x</t>
  </si>
  <si>
    <t xml:space="preserve">2.13x</t>
  </si>
  <si>
    <t xml:space="preserve">2.00x</t>
  </si>
  <si>
    <t xml:space="preserve">1.88x</t>
  </si>
  <si>
    <t xml:space="preserve">1.77x</t>
  </si>
  <si>
    <t xml:space="preserve">1.67x</t>
  </si>
  <si>
    <t xml:space="preserve">2.89x</t>
  </si>
  <si>
    <t xml:space="preserve">2.69x</t>
  </si>
  <si>
    <t xml:space="preserve">2.21x</t>
  </si>
  <si>
    <t xml:space="preserve">2.07x</t>
  </si>
  <si>
    <t xml:space="preserve">1.95x</t>
  </si>
  <si>
    <t xml:space="preserve">1.84x</t>
  </si>
  <si>
    <t xml:space="preserve">1.73x</t>
  </si>
  <si>
    <t xml:space="preserve">2.99x</t>
  </si>
  <si>
    <t xml:space="preserve">2.79x</t>
  </si>
  <si>
    <t xml:space="preserve">2.60x</t>
  </si>
  <si>
    <t xml:space="preserve">2.44x</t>
  </si>
  <si>
    <t xml:space="preserve">2.29x</t>
  </si>
  <si>
    <t xml:space="preserve">2.15x</t>
  </si>
  <si>
    <t xml:space="preserve">2.02x</t>
  </si>
  <si>
    <t xml:space="preserve">1.80x</t>
  </si>
  <si>
    <t xml:space="preserve">3.09x</t>
  </si>
  <si>
    <t xml:space="preserve">2.88x</t>
  </si>
  <si>
    <t xml:space="preserve">2.37x</t>
  </si>
  <si>
    <t xml:space="preserve">2.23x</t>
  </si>
  <si>
    <t xml:space="preserve">2.10x</t>
  </si>
  <si>
    <t xml:space="preserve">1.87x</t>
  </si>
  <si>
    <t xml:space="preserve">3.19x</t>
  </si>
  <si>
    <t xml:space="preserve">2.97x</t>
  </si>
  <si>
    <t xml:space="preserve">2.78x</t>
  </si>
  <si>
    <t xml:space="preserve">2.45x</t>
  </si>
  <si>
    <t xml:space="preserve">2.30x</t>
  </si>
  <si>
    <t xml:space="preserve">2.17x</t>
  </si>
  <si>
    <t xml:space="preserve">2.05x</t>
  </si>
  <si>
    <t xml:space="preserve">1.94x</t>
  </si>
  <si>
    <t xml:space="preserve">1.83x</t>
  </si>
  <si>
    <t xml:space="preserve">3.29x</t>
  </si>
  <si>
    <t xml:space="preserve">3.07x</t>
  </si>
  <si>
    <t xml:space="preserve">2.87x</t>
  </si>
  <si>
    <t xml:space="preserve">2.38x</t>
  </si>
  <si>
    <t xml:space="preserve">2.25x</t>
  </si>
  <si>
    <t xml:space="preserve">2.01x</t>
  </si>
  <si>
    <t xml:space="preserve">1.90x</t>
  </si>
  <si>
    <t xml:space="preserve">3.39x</t>
  </si>
  <si>
    <t xml:space="preserve">3.17x</t>
  </si>
  <si>
    <t xml:space="preserve">2.47x</t>
  </si>
  <si>
    <t xml:space="preserve">2.33x</t>
  </si>
  <si>
    <t xml:space="preserve">2.08x</t>
  </si>
  <si>
    <t xml:space="preserve">1.97x</t>
  </si>
  <si>
    <t xml:space="preserve">ASSUMPTIONS — EDIT BLUE CELLS</t>
  </si>
  <si>
    <t xml:space="preserve">DEAL INFORMATION</t>
  </si>
  <si>
    <t xml:space="preserve">Sunbelt MF Community A</t>
  </si>
  <si>
    <t xml:space="preserve">← Input</t>
  </si>
  <si>
    <t xml:space="preserve">Phoenix, AZ</t>
  </si>
  <si>
    <t xml:space="preserve">Multifamily — Garden</t>
  </si>
  <si>
    <t xml:space="preserve">Yes</t>
  </si>
  <si>
    <t xml:space="preserve">ACQUISITION</t>
  </si>
  <si>
    <t xml:space="preserve">Purchase Price ($)</t>
  </si>
  <si>
    <t xml:space="preserve">Closing Costs (%)</t>
  </si>
  <si>
    <t xml:space="preserve">LTV (%)</t>
  </si>
  <si>
    <t xml:space="preserve">Upfront CapEx </t>
  </si>
  <si>
    <t xml:space="preserve">Hold Period (years)</t>
  </si>
  <si>
    <t xml:space="preserve">Exit Cap Rate (%)</t>
  </si>
  <si>
    <t xml:space="preserve">Disposition Costs (%)</t>
  </si>
  <si>
    <t xml:space="preserve">REVENUE</t>
  </si>
  <si>
    <t xml:space="preserve">General Vacancy (%)</t>
  </si>
  <si>
    <t xml:space="preserve">Other Income ($/unit/mo)</t>
  </si>
  <si>
    <t xml:space="preserve">Rent Growth Yr 1-5 (%)</t>
  </si>
  <si>
    <t xml:space="preserve">Rent Growth Yr 6+ (%)</t>
  </si>
  <si>
    <t xml:space="preserve">Turnover Rate (%)</t>
  </si>
  <si>
    <t xml:space="preserve">Releasing Cost/Unit ($)</t>
  </si>
  <si>
    <t xml:space="preserve">Downtime (days)</t>
  </si>
  <si>
    <t xml:space="preserve">Leasing Commission (%)</t>
  </si>
  <si>
    <t xml:space="preserve">OPERATING EXPENSES ($/unit/mo)</t>
  </si>
  <si>
    <t xml:space="preserve">Real Estate Taxes</t>
  </si>
  <si>
    <t xml:space="preserve">Property Insurance</t>
  </si>
  <si>
    <t xml:space="preserve">Property Management Fee (% of EGR - see note)</t>
  </si>
  <si>
    <t xml:space="preserve">Property Management - Payroll &amp; Benefits</t>
  </si>
  <si>
    <t xml:space="preserve">Property Management - Leasing Fees</t>
  </si>
  <si>
    <t xml:space="preserve">Marketing &amp; Advertising</t>
  </si>
  <si>
    <t xml:space="preserve">General &amp; Administrative</t>
  </si>
  <si>
    <t xml:space="preserve">Utilities - Common area</t>
  </si>
  <si>
    <t xml:space="preserve">Utilities - Vacant units</t>
  </si>
  <si>
    <t xml:space="preserve">Turnover Costs</t>
  </si>
  <si>
    <t xml:space="preserve">Repairs &amp; Maintenance</t>
  </si>
  <si>
    <t xml:space="preserve">Landscaping / Grounds</t>
  </si>
  <si>
    <t xml:space="preserve">OpEx Growth Rate (%)</t>
  </si>
  <si>
    <t xml:space="preserve">← Input (annual OpEx inflation)</t>
  </si>
  <si>
    <t xml:space="preserve">DEBT</t>
  </si>
  <si>
    <t xml:space="preserve">Interest Rate (%)</t>
  </si>
  <si>
    <t xml:space="preserve">I/O Period (years)</t>
  </si>
  <si>
    <t xml:space="preserve">Amortization (years)</t>
  </si>
  <si>
    <t xml:space="preserve">Loan Term (years)</t>
  </si>
  <si>
    <t xml:space="preserve">Lender Fees (%)</t>
  </si>
  <si>
    <t xml:space="preserve">VALUE-ADD</t>
  </si>
  <si>
    <t xml:space="preserve">Reno Cost/Unit ($)</t>
  </si>
  <si>
    <t xml:space="preserve">Units to Renovate</t>
  </si>
  <si>
    <t xml:space="preserve">Reno Period (years)</t>
  </si>
  <si>
    <t xml:space="preserve">Rent Premium/Unit/Mo ($)</t>
  </si>
  <si>
    <t xml:space="preserve">WATERFALL / FEES</t>
  </si>
  <si>
    <t xml:space="preserve">Hurdle 2 (%)</t>
  </si>
  <si>
    <t xml:space="preserve">Promote 2 (%)</t>
  </si>
  <si>
    <t xml:space="preserve">Hurdle 3 (%)</t>
  </si>
  <si>
    <t xml:space="preserve">Promote 3 (%)</t>
  </si>
  <si>
    <t xml:space="preserve">AM Fee (%)</t>
  </si>
  <si>
    <t xml:space="preserve">SENSITIVITY</t>
  </si>
  <si>
    <t xml:space="preserve">RG Start (%)</t>
  </si>
  <si>
    <t xml:space="preserve">RG Step (%)</t>
  </si>
  <si>
    <t xml:space="preserve">Cap Start (%)</t>
  </si>
  <si>
    <t xml:space="preserve">Cap Step (%)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</si>
</sst>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\$* #,##0_);_(\$* \(#,##0\);_(\$* \-??_);_(@_)"/>
    <numFmt numFmtId="166" formatCode="#,##0"/>
    <numFmt numFmtId="167" formatCode="\$#,##0"/>
    <numFmt numFmtId="168" formatCode="0.00%"/>
    <numFmt numFmtId="169" formatCode="0.0%"/>
    <numFmt numFmtId="170" formatCode="0.00\x"/>
    <numFmt numFmtId="171" formatCode="#,##0.0"/>
    <numFmt numFmtId="172" formatCode="m/d/yyyy;@"/>
    <numFmt numFmtId="173" formatCode="0"/>
    <numFmt numFmtId="174" formatCode="&quot;($&quot;#,##0\)"/>
    <numFmt numFmtId="175" formatCode="\$#,##0.00"/>
  </numFmts>
  <fonts count="4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3" tint="-0.5"/>
      <name val="Arial"/>
      <family val="2"/>
      <charset val="1"/>
    </font>
    <font>
      <sz val="10"/>
      <color theme="3" tint="-0.5"/>
      <name val="Arial"/>
      <family val="2"/>
      <charset val="1"/>
    </font>
    <font>
      <sz val="11"/>
      <color theme="3" tint="-0.5"/>
      <name val="Calibri"/>
      <family val="2"/>
      <charset val="1"/>
    </font>
    <font>
      <b val="true"/>
      <sz val="10"/>
      <color theme="3" tint="-0.5"/>
      <name val="Arial"/>
      <family val="2"/>
      <charset val="1"/>
    </font>
    <font>
      <b val="true"/>
      <sz val="9"/>
      <color theme="3" tint="-0.5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rgb="FF9CA3AF"/>
      <name val="Arial"/>
      <family val="2"/>
      <charset val="1"/>
    </font>
    <font>
      <sz val="11"/>
      <color rgb="FFC9A84C"/>
      <name val="Arial"/>
      <family val="2"/>
      <charset val="1"/>
    </font>
    <font>
      <b val="true"/>
      <sz val="9"/>
      <color rgb="FF0A1628"/>
      <name val="Arial"/>
      <family val="2"/>
      <charset val="1"/>
    </font>
    <font>
      <b val="true"/>
      <sz val="10"/>
      <color rgb="FFC9A84C"/>
      <name val="Arial"/>
      <family val="2"/>
      <charset val="1"/>
    </font>
    <font>
      <i val="true"/>
      <sz val="8"/>
      <color rgb="FF9CA3AF"/>
      <name val="Arial"/>
      <family val="2"/>
      <charset val="1"/>
    </font>
    <font>
      <sz val="10"/>
      <color rgb="FF0A1628"/>
      <name val="Arial"/>
      <family val="2"/>
      <charset val="1"/>
    </font>
    <font>
      <b val="true"/>
      <sz val="11"/>
      <color rgb="FF0A1628"/>
      <name val="Arial"/>
      <family val="2"/>
      <charset val="1"/>
    </font>
    <font>
      <sz val="8"/>
      <color rgb="FF9CA3AF"/>
      <name val="Arial"/>
      <family val="2"/>
      <charset val="1"/>
    </font>
    <font>
      <sz val="8"/>
      <color theme="3" tint="-0.5"/>
      <name val="Arial"/>
      <family val="2"/>
      <charset val="1"/>
    </font>
    <font>
      <b val="true"/>
      <sz val="14"/>
      <color theme="3" tint="-0.5"/>
      <name val="Arial"/>
      <family val="2"/>
      <charset val="1"/>
    </font>
    <font>
      <i val="true"/>
      <sz val="8"/>
      <color theme="3" tint="-0.5"/>
      <name val="Arial"/>
      <family val="2"/>
      <charset val="1"/>
    </font>
    <font>
      <b val="true"/>
      <sz val="10"/>
      <color theme="3" tint="-0.5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1"/>
      <color theme="3" tint="-0.5"/>
      <name val="Calibri"/>
      <family val="2"/>
      <charset val="1"/>
    </font>
    <font>
      <b val="true"/>
      <sz val="10"/>
      <color rgb="FF0A1628"/>
      <name val="Arial"/>
      <family val="2"/>
      <charset val="1"/>
    </font>
    <font>
      <b val="true"/>
      <sz val="9"/>
      <color rgb="FFC9A84C"/>
      <name val="Arial"/>
      <family val="2"/>
      <charset val="1"/>
    </font>
    <font>
      <sz val="8"/>
      <color rgb="FFC9A84C"/>
      <name val="Arial"/>
      <family val="2"/>
      <charset val="1"/>
    </font>
    <font>
      <sz val="9"/>
      <color rgb="FFFFFFFF"/>
      <name val="Arial"/>
      <family val="2"/>
      <charset val="1"/>
    </font>
    <font>
      <sz val="9"/>
      <color rgb="FFC9A84C"/>
      <name val="Arial"/>
      <family val="2"/>
      <charset val="1"/>
    </font>
    <font>
      <b val="true"/>
      <sz val="14"/>
      <color rgb="FFC9A84C"/>
      <name val="Arial"/>
      <family val="2"/>
      <charset val="1"/>
    </font>
    <font>
      <b val="true"/>
      <sz val="13"/>
      <color theme="3" tint="-0.5"/>
      <name val="Arial"/>
      <family val="2"/>
      <charset val="1"/>
    </font>
    <font>
      <sz val="8"/>
      <color theme="0"/>
      <name val="Arial"/>
      <family val="2"/>
      <charset val="1"/>
    </font>
    <font>
      <sz val="9"/>
      <color rgb="FF555555"/>
      <name val="Arial"/>
      <family val="0"/>
      <charset val="1"/>
    </font>
    <font>
      <sz val="9"/>
      <color rgb="FF991B1B"/>
      <name val="Arial"/>
      <family val="0"/>
      <charset val="1"/>
    </font>
    <font>
      <b val="true"/>
      <sz val="9"/>
      <color rgb="FF555555"/>
      <name val="Arial"/>
      <family val="0"/>
      <charset val="1"/>
    </font>
    <font>
      <sz val="9"/>
      <color rgb="FF92400E"/>
      <name val="Arial"/>
      <family val="0"/>
      <charset val="1"/>
    </font>
    <font>
      <i val="true"/>
      <sz val="8"/>
      <color rgb="FF9CA3AF"/>
      <name val="Arial"/>
      <family val="0"/>
      <charset val="1"/>
    </font>
    <font>
      <sz val="9"/>
      <color rgb="FF166534"/>
      <name val="Arial"/>
      <family val="0"/>
      <charset val="1"/>
    </font>
    <font>
      <b val="true"/>
      <sz val="9"/>
      <color rgb="FF166534"/>
      <name val="Arial"/>
      <family val="0"/>
      <charset val="1"/>
    </font>
    <font>
      <sz val="10"/>
      <color rgb="FF0000FF"/>
      <name val="Arial"/>
      <family val="2"/>
      <charset val="1"/>
    </font>
    <font>
      <sz val="8"/>
      <color rgb="FF6B7280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0.5996"/>
        <bgColor rgb="FFCCCCCC"/>
      </patternFill>
    </fill>
    <fill>
      <patternFill patternType="solid">
        <fgColor rgb="FFFFFFFF"/>
        <bgColor rgb="FFF5F7FA"/>
      </patternFill>
    </fill>
    <fill>
      <patternFill patternType="solid">
        <fgColor rgb="FF0D1F35"/>
        <bgColor rgb="FF0A2040"/>
      </patternFill>
    </fill>
    <fill>
      <patternFill patternType="solid">
        <fgColor rgb="FFF2F4F8"/>
        <bgColor rgb="FFF0F4F8"/>
      </patternFill>
    </fill>
    <fill>
      <patternFill patternType="solid">
        <fgColor rgb="FF1C1F24"/>
        <bgColor rgb="FF252830"/>
      </patternFill>
    </fill>
    <fill>
      <patternFill patternType="solid">
        <fgColor rgb="FFF0F4F8"/>
        <bgColor rgb="FFF2F4F8"/>
      </patternFill>
    </fill>
    <fill>
      <patternFill patternType="solid">
        <fgColor theme="6" tint="0.7998"/>
        <bgColor rgb="FFF0F4F8"/>
      </patternFill>
    </fill>
    <fill>
      <patternFill patternType="solid">
        <fgColor rgb="FFF0F4FF"/>
        <bgColor rgb="FFEEF4FF"/>
      </patternFill>
    </fill>
    <fill>
      <patternFill patternType="solid">
        <fgColor rgb="FFF5F7FA"/>
        <bgColor rgb="FFF5F5F5"/>
      </patternFill>
    </fill>
    <fill>
      <patternFill patternType="solid">
        <fgColor rgb="FFDCFCE7"/>
        <bgColor rgb="FFEBF1DE"/>
      </patternFill>
    </fill>
    <fill>
      <patternFill patternType="solid">
        <fgColor rgb="FF0A1628"/>
        <bgColor rgb="FF0D1F35"/>
      </patternFill>
    </fill>
    <fill>
      <patternFill patternType="solid">
        <fgColor rgb="FF0A2040"/>
        <bgColor rgb="FF0D1F35"/>
      </patternFill>
    </fill>
    <fill>
      <patternFill patternType="solid">
        <fgColor rgb="FFF5F5F5"/>
        <bgColor rgb="FFF2F4F8"/>
      </patternFill>
    </fill>
    <fill>
      <patternFill patternType="solid">
        <fgColor rgb="FFFEF2F2"/>
        <bgColor rgb="FFF5F5F5"/>
      </patternFill>
    </fill>
    <fill>
      <patternFill patternType="solid">
        <fgColor rgb="FFFEF3C7"/>
        <bgColor rgb="FFEBF1DE"/>
      </patternFill>
    </fill>
    <fill>
      <patternFill patternType="solid">
        <fgColor rgb="FFEEF4FF"/>
        <bgColor rgb="FFF0F4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9A84C"/>
      </left>
      <right style="thin">
        <color rgb="FFC9A84C"/>
      </right>
      <top style="thin">
        <color rgb="FFC9A84C"/>
      </top>
      <bottom style="thin">
        <color rgb="FFC9A84C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/>
      <diagonal/>
    </border>
    <border diagonalUp="false" diagonalDown="false">
      <left style="thin">
        <color rgb="FFC9A84C"/>
      </left>
      <right style="thin">
        <color rgb="FFC9A84C"/>
      </right>
      <top style="thin"/>
      <bottom style="thin"/>
      <diagonal/>
    </border>
    <border diagonalUp="false" diagonalDown="false"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 diagonalUp="false" diagonalDown="false">
      <left style="thin">
        <color rgb="FFC9A84C"/>
      </left>
      <right style="thin">
        <color rgb="FFC9A84C"/>
      </right>
      <top style="thin">
        <color rgb="FFC9A84C"/>
      </top>
      <bottom style="thin"/>
      <diagonal/>
    </border>
    <border diagonalUp="false" diagonalDown="false">
      <left style="thin">
        <color rgb="FFC9A84C"/>
      </left>
      <right style="thin">
        <color rgb="FFC9A84C"/>
      </right>
      <top/>
      <bottom style="thin"/>
      <diagonal/>
    </border>
    <border diagonalUp="false" diagonalDown="false">
      <left/>
      <right/>
      <top style="thin"/>
      <bottom style="thin">
        <color rgb="FFC9A84C"/>
      </bottom>
      <diagonal/>
    </border>
    <border diagonalUp="false" diagonalDown="false"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 diagonalUp="false" diagonalDown="false">
      <left style="thin">
        <color rgb="FFC9A84C"/>
      </left>
      <right/>
      <top/>
      <bottom style="thin"/>
      <diagonal/>
    </border>
    <border diagonalUp="false" diagonalDown="false">
      <left style="thin">
        <color rgb="FFC9A84C"/>
      </left>
      <right style="thin">
        <color rgb="FFC9A84C"/>
      </right>
      <top/>
      <bottom style="thin">
        <color rgb="FFC9A84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9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1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24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24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8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1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8" fillId="1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5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5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5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1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4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4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1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1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11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17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3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2" fillId="1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17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42" fillId="1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2" fillId="1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2" fillId="1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2" fillId="1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42" fillId="1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166534"/>
        <sz val="11"/>
      </font>
      <fill>
        <patternFill>
          <bgColor rgb="FFDCFCE7"/>
        </patternFill>
      </fill>
    </dxf>
    <dxf>
      <font>
        <name val="Arial"/>
        <charset val="1"/>
        <family val="0"/>
        <b val="1"/>
        <color rgb="FF991B1B"/>
        <sz val="11"/>
      </font>
      <fill>
        <patternFill>
          <bgColor rgb="FFFEF2F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5F7FA"/>
      <rgbColor rgb="FFFF00FF"/>
      <rgbColor rgb="FF00FFFF"/>
      <rgbColor rgb="FF991B1B"/>
      <rgbColor rgb="FF166534"/>
      <rgbColor rgb="FF0A2040"/>
      <rgbColor rgb="FF808000"/>
      <rgbColor rgb="FF800080"/>
      <rgbColor rgb="FF008080"/>
      <rgbColor rgb="FFCCCCCC"/>
      <rgbColor rgb="FF555555"/>
      <rgbColor rgb="FF5B9CF6"/>
      <rgbColor rgb="FF993366"/>
      <rgbColor rgb="FFFEF3C7"/>
      <rgbColor rgb="FFDCFCE7"/>
      <rgbColor rgb="FF660066"/>
      <rgbColor rgb="FFFF8080"/>
      <rgbColor rgb="FF0066CC"/>
      <rgbColor rgb="FFB9CDE5"/>
      <rgbColor rgb="FF0A1628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F"/>
      <rgbColor rgb="FFEBF1DE"/>
      <rgbColor rgb="FFFEF2F2"/>
      <rgbColor rgb="FFF0F4FF"/>
      <rgbColor rgb="FFF2F4F8"/>
      <rgbColor rgb="FFF0F4F8"/>
      <rgbColor rgb="FFF5F5F5"/>
      <rgbColor rgb="FF3366FF"/>
      <rgbColor rgb="FF2DBD7E"/>
      <rgbColor rgb="FF99CC00"/>
      <rgbColor rgb="FFFFCC00"/>
      <rgbColor rgb="FFC9A84C"/>
      <rgbColor rgb="FFE05252"/>
      <rgbColor rgb="FF6B7280"/>
      <rgbColor rgb="FF9CA3AF"/>
      <rgbColor rgb="FF10243E"/>
      <rgbColor rgb="FF339966"/>
      <rgbColor rgb="FF0D1F35"/>
      <rgbColor rgb="FF1C1F24"/>
      <rgbColor rgb="FF92400E"/>
      <rgbColor rgb="FF993366"/>
      <rgbColor rgb="FF444444"/>
      <rgbColor rgb="FF2528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1825560</xdr:colOff>
      <xdr:row>1</xdr:row>
      <xdr:rowOff>76320</xdr:rowOff>
    </xdr:from>
    <xdr:to>
      <xdr:col>5</xdr:col>
      <xdr:colOff>2372040</xdr:colOff>
      <xdr:row>2</xdr:row>
      <xdr:rowOff>106560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8277840" y="247680"/>
          <a:ext cx="546480" cy="487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254160</xdr:colOff>
      <xdr:row>0</xdr:row>
      <xdr:rowOff>98280</xdr:rowOff>
    </xdr:from>
    <xdr:to>
      <xdr:col>13</xdr:col>
      <xdr:colOff>673560</xdr:colOff>
      <xdr:row>1</xdr:row>
      <xdr:rowOff>128520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13908600" y="98280"/>
          <a:ext cx="419400" cy="38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609480</xdr:colOff>
      <xdr:row>0</xdr:row>
      <xdr:rowOff>57240</xdr:rowOff>
    </xdr:from>
    <xdr:to>
      <xdr:col>11</xdr:col>
      <xdr:colOff>847800</xdr:colOff>
      <xdr:row>0</xdr:row>
      <xdr:rowOff>281160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13514760" y="57240"/>
          <a:ext cx="238320" cy="223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609480</xdr:colOff>
      <xdr:row>0</xdr:row>
      <xdr:rowOff>57240</xdr:rowOff>
    </xdr:from>
    <xdr:to>
      <xdr:col>11</xdr:col>
      <xdr:colOff>844560</xdr:colOff>
      <xdr:row>0</xdr:row>
      <xdr:rowOff>281160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11605320" y="57240"/>
          <a:ext cx="235080" cy="223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247680</xdr:colOff>
      <xdr:row>0</xdr:row>
      <xdr:rowOff>133200</xdr:rowOff>
    </xdr:from>
    <xdr:to>
      <xdr:col>11</xdr:col>
      <xdr:colOff>486000</xdr:colOff>
      <xdr:row>1</xdr:row>
      <xdr:rowOff>7920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7719120" y="133200"/>
          <a:ext cx="238320" cy="227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228600</xdr:colOff>
      <xdr:row>0</xdr:row>
      <xdr:rowOff>152280</xdr:rowOff>
    </xdr:from>
    <xdr:to>
      <xdr:col>11</xdr:col>
      <xdr:colOff>466920</xdr:colOff>
      <xdr:row>1</xdr:row>
      <xdr:rowOff>27000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7700040" y="152280"/>
          <a:ext cx="238320" cy="227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1285920</xdr:colOff>
      <xdr:row>0</xdr:row>
      <xdr:rowOff>47520</xdr:rowOff>
    </xdr:from>
    <xdr:to>
      <xdr:col>3</xdr:col>
      <xdr:colOff>1605240</xdr:colOff>
      <xdr:row>1</xdr:row>
      <xdr:rowOff>166680</xdr:rowOff>
    </xdr:to>
    <xdr:pic>
      <xdr:nvPicPr>
        <xdr:cNvPr id="6" name="Image 1" descr="Picture"/>
        <xdr:cNvPicPr/>
      </xdr:nvPicPr>
      <xdr:blipFill>
        <a:blip r:embed="rId1"/>
        <a:stretch/>
      </xdr:blipFill>
      <xdr:spPr>
        <a:xfrm>
          <a:off x="5873760" y="47520"/>
          <a:ext cx="319320" cy="300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true"/>
  </sheetPr>
  <dimension ref="B1:F35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N29" activeCellId="0" sqref="N29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3" min="3" style="0" width="23.54"/>
    <col collapsed="false" customWidth="true" hidden="false" outlineLevel="0" max="4" min="4" style="0" width="2"/>
    <col collapsed="false" customWidth="true" hidden="false" outlineLevel="0" max="5" min="5" style="0" width="32"/>
    <col collapsed="false" customWidth="true" hidden="false" outlineLevel="0" max="6" min="6" style="0" width="36.63"/>
  </cols>
  <sheetData>
    <row r="1" customFormat="false" ht="13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</row>
    <row r="4" customFormat="false" ht="12" hidden="false" customHeight="true" outlineLevel="0" collapsed="false">
      <c r="B4" s="3"/>
      <c r="C4" s="3"/>
      <c r="D4" s="3"/>
      <c r="E4" s="3"/>
      <c r="F4" s="3"/>
    </row>
    <row r="5" customFormat="false" ht="18" hidden="false" customHeight="true" outlineLevel="0" collapsed="false">
      <c r="B5" s="4" t="s">
        <v>2</v>
      </c>
      <c r="C5" s="5"/>
      <c r="D5" s="5"/>
      <c r="E5" s="5"/>
      <c r="F5" s="5"/>
    </row>
    <row r="6" customFormat="false" ht="16.5" hidden="false" customHeight="true" outlineLevel="0" collapsed="false">
      <c r="B6" s="6" t="s">
        <v>3</v>
      </c>
      <c r="C6" s="7" t="str">
        <f aca="false">Assumptions!C3</f>
        <v>Sunbelt MF Community A</v>
      </c>
      <c r="D6" s="8"/>
      <c r="E6" s="6" t="s">
        <v>4</v>
      </c>
      <c r="F6" s="9" t="str">
        <f aca="false">Assumptions!C4</f>
        <v>Phoenix, AZ</v>
      </c>
    </row>
    <row r="7" customFormat="false" ht="16.5" hidden="false" customHeight="true" outlineLevel="0" collapsed="false">
      <c r="B7" s="6" t="s">
        <v>5</v>
      </c>
      <c r="C7" s="7" t="n">
        <f aca="false">Assumptions!C5</f>
        <v>2019</v>
      </c>
      <c r="D7" s="8"/>
      <c r="E7" s="6" t="s">
        <v>6</v>
      </c>
      <c r="F7" s="9" t="str">
        <f aca="false">Assumptions!C6</f>
        <v>Multifamily — Garden</v>
      </c>
    </row>
    <row r="8" customFormat="false" ht="16.5" hidden="false" customHeight="true" outlineLevel="0" collapsed="false">
      <c r="B8" s="6" t="s">
        <v>7</v>
      </c>
      <c r="C8" s="10" t="n">
        <f aca="false">Assumptions!C10</f>
        <v>26000000</v>
      </c>
      <c r="D8" s="8"/>
      <c r="E8" s="6" t="s">
        <v>8</v>
      </c>
      <c r="F8" s="11" t="n">
        <f aca="false">Assumptions!C14</f>
        <v>10</v>
      </c>
    </row>
    <row r="9" customFormat="false" ht="16.5" hidden="false" customHeight="true" outlineLevel="0" collapsed="false">
      <c r="B9" s="6" t="s">
        <v>9</v>
      </c>
      <c r="C9" s="11" t="n">
        <f aca="false">'Rent Roll'!C94</f>
        <v>90</v>
      </c>
      <c r="D9" s="8"/>
      <c r="E9" s="6" t="s">
        <v>10</v>
      </c>
      <c r="F9" s="9" t="str">
        <f aca="false">Assumptions!C7</f>
        <v>Yes</v>
      </c>
    </row>
    <row r="10" customFormat="false" ht="14.25" hidden="false" customHeight="true" outlineLevel="0" collapsed="false">
      <c r="B10" s="8"/>
      <c r="C10" s="8"/>
      <c r="D10" s="8"/>
      <c r="E10" s="8"/>
      <c r="F10" s="8"/>
    </row>
    <row r="11" customFormat="false" ht="18" hidden="false" customHeight="true" outlineLevel="0" collapsed="false">
      <c r="B11" s="4" t="s">
        <v>11</v>
      </c>
      <c r="C11" s="4"/>
      <c r="D11" s="4"/>
      <c r="E11" s="4"/>
      <c r="F11" s="4"/>
    </row>
    <row r="12" customFormat="false" ht="16.5" hidden="false" customHeight="true" outlineLevel="0" collapsed="false">
      <c r="B12" s="6" t="s">
        <v>7</v>
      </c>
      <c r="C12" s="12" t="n">
        <f aca="false">Assumptions!C10</f>
        <v>26000000</v>
      </c>
      <c r="D12" s="8"/>
      <c r="E12" s="13" t="s">
        <v>12</v>
      </c>
      <c r="F12" s="14" t="n">
        <f aca="false">Returns!C4</f>
        <v>0.0849631627059646</v>
      </c>
    </row>
    <row r="13" customFormat="false" ht="16.5" hidden="false" customHeight="true" outlineLevel="0" collapsed="false">
      <c r="B13" s="6" t="s">
        <v>13</v>
      </c>
      <c r="C13" s="12" t="n">
        <f aca="false">Assumptions!C10/'Rent Roll'!C94</f>
        <v>288888.888888889</v>
      </c>
      <c r="D13" s="8"/>
      <c r="E13" s="13" t="s">
        <v>14</v>
      </c>
      <c r="F13" s="15" t="n">
        <f aca="false">Returns!C5</f>
        <v>0.0878044005583993</v>
      </c>
    </row>
    <row r="14" customFormat="false" ht="16.5" hidden="false" customHeight="true" outlineLevel="0" collapsed="false">
      <c r="B14" s="6" t="s">
        <v>15</v>
      </c>
      <c r="C14" s="16" t="n">
        <f aca="false">IF(Assumptions!C10&gt;0,'Cash Flow'!C9/Assumptions!C10,0)</f>
        <v>0.0576952860576923</v>
      </c>
      <c r="D14" s="8"/>
      <c r="E14" s="17" t="s">
        <v>16</v>
      </c>
      <c r="F14" s="18" t="n">
        <f aca="false">IF(Assumptions!C15&gt;0,'Cash Flow'!C9/Assumptions!C15,0)</f>
        <v>27274135.2272727</v>
      </c>
    </row>
    <row r="15" customFormat="false" ht="16.5" hidden="false" customHeight="true" outlineLevel="0" collapsed="false">
      <c r="B15" s="6" t="s">
        <v>17</v>
      </c>
      <c r="C15" s="12" t="n">
        <f aca="false">Assumptions!C10*(1-Assumptions!C12)+Assumptions!C10*Assumptions!C11+Assumptions!C13+Assumptions!C10*Assumptions!C12*Assumptions!C49+Assumptions!C10*Assumptions!C64</f>
        <v>11456000</v>
      </c>
      <c r="D15" s="8"/>
      <c r="E15" s="13" t="s">
        <v>18</v>
      </c>
      <c r="F15" s="19" t="n">
        <f aca="false">Returns!C7</f>
        <v>0.0320235951870735</v>
      </c>
    </row>
    <row r="16" customFormat="false" ht="16.5" hidden="false" customHeight="true" outlineLevel="0" collapsed="false">
      <c r="B16" s="6" t="s">
        <v>19</v>
      </c>
      <c r="C16" s="12" t="n">
        <f aca="false">'Debt &amp; Amort'!C3</f>
        <v>15600000</v>
      </c>
      <c r="D16" s="8"/>
      <c r="E16" s="13" t="s">
        <v>20</v>
      </c>
      <c r="F16" s="19" t="n">
        <f aca="false">Returns!C28</f>
        <v>0.0809952262329593</v>
      </c>
    </row>
    <row r="17" customFormat="false" ht="16.5" hidden="false" customHeight="true" outlineLevel="0" collapsed="false">
      <c r="B17" s="6" t="s">
        <v>21</v>
      </c>
      <c r="C17" s="16" t="n">
        <f aca="false">Assumptions!C12</f>
        <v>0.6</v>
      </c>
      <c r="D17" s="8"/>
      <c r="E17" s="13" t="s">
        <v>22</v>
      </c>
      <c r="F17" s="19" t="n">
        <f aca="false">Returns!C29</f>
        <v>0.13314456738055</v>
      </c>
    </row>
    <row r="18" customFormat="false" ht="16.5" hidden="false" customHeight="true" outlineLevel="0" collapsed="false">
      <c r="B18" s="6" t="s">
        <v>23</v>
      </c>
      <c r="C18" s="20" t="n">
        <f aca="false">'Debt &amp; Amort'!C10</f>
        <v>1.67232713210702</v>
      </c>
      <c r="D18" s="8"/>
      <c r="E18" s="13" t="s">
        <v>24</v>
      </c>
      <c r="F18" s="21" t="n">
        <f aca="false">'Cash Flow'!C9</f>
        <v>1500077.4375</v>
      </c>
    </row>
    <row r="19" customFormat="false" ht="15" hidden="false" customHeight="true" outlineLevel="0" collapsed="false">
      <c r="C19" s="22"/>
      <c r="D19" s="8"/>
      <c r="E19" s="8"/>
      <c r="F19" s="8"/>
    </row>
    <row r="20" customFormat="false" ht="18" hidden="false" customHeight="true" outlineLevel="0" collapsed="false">
      <c r="B20" s="4" t="s">
        <v>25</v>
      </c>
      <c r="C20" s="4"/>
      <c r="D20" s="8"/>
      <c r="E20" s="8"/>
      <c r="F20" s="8"/>
    </row>
    <row r="21" customFormat="false" ht="15.75" hidden="false" customHeight="true" outlineLevel="0" collapsed="false">
      <c r="B21" s="23" t="s">
        <v>26</v>
      </c>
      <c r="C21" s="24" t="n">
        <f aca="false">'Cash Flow'!C3</f>
        <v>2198400</v>
      </c>
      <c r="D21" s="8"/>
      <c r="E21" s="8"/>
      <c r="F21" s="8"/>
    </row>
    <row r="22" customFormat="false" ht="15.75" hidden="false" customHeight="true" outlineLevel="0" collapsed="false">
      <c r="B22" s="25" t="s">
        <v>27</v>
      </c>
      <c r="C22" s="26" t="n">
        <f aca="false">'Cash Flow'!C7</f>
        <v>2350275</v>
      </c>
      <c r="D22" s="8"/>
      <c r="E22" s="8"/>
      <c r="F22" s="8"/>
    </row>
    <row r="23" customFormat="false" ht="15.75" hidden="false" customHeight="true" outlineLevel="0" collapsed="false">
      <c r="B23" s="23"/>
      <c r="C23" s="24"/>
      <c r="D23" s="8"/>
      <c r="E23" s="8"/>
      <c r="F23" s="8"/>
    </row>
    <row r="24" customFormat="false" ht="15.75" hidden="false" customHeight="true" outlineLevel="0" collapsed="false">
      <c r="B24" s="25" t="s">
        <v>24</v>
      </c>
      <c r="C24" s="26" t="n">
        <f aca="false">'Cash Flow'!C9</f>
        <v>1500077.4375</v>
      </c>
      <c r="D24" s="8"/>
      <c r="E24" s="8"/>
      <c r="F24" s="8"/>
    </row>
    <row r="25" customFormat="false" ht="15.75" hidden="false" customHeight="true" outlineLevel="0" collapsed="false">
      <c r="B25" s="27" t="s">
        <v>28</v>
      </c>
      <c r="C25" s="28" t="n">
        <f aca="false">Returns!C9</f>
        <v>1982660.21934519</v>
      </c>
      <c r="E25" s="8"/>
      <c r="F25" s="8"/>
    </row>
    <row r="26" customFormat="false" ht="15.75" hidden="false" customHeight="true" outlineLevel="0" collapsed="false">
      <c r="B26" s="25" t="s">
        <v>29</v>
      </c>
      <c r="C26" s="26" t="n">
        <f aca="false">Returns!C10</f>
        <v>36048367.6244579</v>
      </c>
      <c r="D26" s="8"/>
      <c r="E26" s="8"/>
      <c r="F26" s="8"/>
    </row>
    <row r="27" customFormat="false" ht="15.75" hidden="false" customHeight="true" outlineLevel="0" collapsed="false">
      <c r="B27" s="27" t="s">
        <v>30</v>
      </c>
      <c r="C27" s="28" t="n">
        <f aca="false">Returns!C13</f>
        <v>21644570.6432577</v>
      </c>
      <c r="E27" s="8"/>
      <c r="F27" s="8"/>
    </row>
    <row r="28" customFormat="false" ht="19.5" hidden="false" customHeight="true" outlineLevel="0" collapsed="false">
      <c r="B28" s="29" t="s">
        <v>31</v>
      </c>
      <c r="C28" s="29"/>
      <c r="D28" s="29"/>
      <c r="E28" s="29"/>
      <c r="F28" s="29"/>
    </row>
    <row r="29" customFormat="false" ht="15.75" hidden="false" customHeight="true" outlineLevel="0" collapsed="false">
      <c r="B29" s="30" t="s">
        <v>32</v>
      </c>
      <c r="C29" s="30"/>
      <c r="D29" s="30"/>
      <c r="E29" s="30"/>
      <c r="F29" s="30"/>
    </row>
    <row r="30" customFormat="false" ht="18" hidden="false" customHeight="true" outlineLevel="0" collapsed="false">
      <c r="B30" s="31" t="s">
        <v>33</v>
      </c>
      <c r="C30" s="32" t="n">
        <f aca="false">IF(Assumptions!C15&gt;0,'Cash Flow'!C9/Assumptions!C15,0)</f>
        <v>27274135.2272727</v>
      </c>
      <c r="D30" s="33"/>
      <c r="E30" s="34" t="s">
        <v>34</v>
      </c>
      <c r="F30" s="33"/>
    </row>
    <row r="31" customFormat="false" ht="18" hidden="false" customHeight="true" outlineLevel="0" collapsed="false">
      <c r="B31" s="35" t="s">
        <v>35</v>
      </c>
      <c r="C31" s="36" t="n">
        <f aca="false">Assumptions!C10-IF(Assumptions!C15&gt;0,'Cash Flow'!C9/Assumptions!C15,0)</f>
        <v>-1274135.22727273</v>
      </c>
      <c r="D31" s="37"/>
      <c r="E31" s="38" t="s">
        <v>36</v>
      </c>
      <c r="F31" s="37"/>
    </row>
    <row r="32" customFormat="false" ht="18" hidden="false" customHeight="true" outlineLevel="0" collapsed="false">
      <c r="B32" s="31" t="s">
        <v>37</v>
      </c>
      <c r="C32" s="39" t="n">
        <f aca="false">IF(Assumptions!C10&gt;0,'Cash Flow'!C9/Assumptions!C10,0)</f>
        <v>0.0576952860576923</v>
      </c>
      <c r="D32" s="33"/>
      <c r="E32" s="34" t="s">
        <v>38</v>
      </c>
      <c r="F32" s="33"/>
    </row>
    <row r="33" customFormat="false" ht="18" hidden="false" customHeight="true" outlineLevel="0" collapsed="false">
      <c r="B33" s="35" t="s">
        <v>39</v>
      </c>
      <c r="C33" s="40" t="n">
        <f aca="false">IF(Assumptions!C10&gt;0,'Cash Flow'!C9/Assumptions!C10-Assumptions!C15,0)</f>
        <v>0.00269528605769231</v>
      </c>
      <c r="D33" s="37"/>
      <c r="E33" s="38" t="s">
        <v>40</v>
      </c>
      <c r="F33" s="37"/>
    </row>
    <row r="34" customFormat="false" ht="14.25" hidden="false" customHeight="true" outlineLevel="0" collapsed="false">
      <c r="B34" s="8"/>
      <c r="C34" s="8"/>
      <c r="D34" s="8"/>
      <c r="E34" s="8"/>
      <c r="F34" s="8"/>
    </row>
    <row r="35" customFormat="false" ht="14.25" hidden="false" customHeight="true" outlineLevel="0" collapsed="false">
      <c r="B35" s="41" t="s">
        <v>41</v>
      </c>
      <c r="C35" s="41"/>
      <c r="D35" s="41"/>
      <c r="E35" s="41"/>
      <c r="F35" s="41"/>
    </row>
  </sheetData>
  <mergeCells count="2">
    <mergeCell ref="B28:F28"/>
    <mergeCell ref="B29:F29"/>
  </mergeCells>
  <conditionalFormatting sqref="C31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conditionalFormatting sqref="C33">
    <cfRule type="cellIs" priority="4" operator="greaterThan" aboveAverage="0" equalAverage="0" bottom="0" percent="0" rank="0" text="" dxfId="0">
      <formula>0</formula>
    </cfRule>
    <cfRule type="cellIs" priority="5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5" right="0.5" top="0.75" bottom="0.75" header="0.3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&amp;L&amp;"Arial,Bold"&amp;10 &amp;K0a1628EPPS.AI&amp;C&amp;"Arial,Regular"&amp;9 &amp;K6b7280Summary&amp;R&amp;"Arial,Regular"&amp;9 &amp;K6b7280Confidential</oddHeader>
    <oddFooter>&amp;C&amp;"Arial,Regular"&amp;9 &amp;K9ca3af[Asset Name] · Epps.ai Analysis&amp;R&amp;"Arial,Regular"&amp;9 &amp;K9ca3afPage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BD7E"/>
    <pageSetUpPr fitToPage="true"/>
  </sheetPr>
  <dimension ref="B1:N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4" activeCellId="0" sqref="C94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.91"/>
    <col collapsed="false" customWidth="true" hidden="false" outlineLevel="0" max="4" min="3" style="0" width="10"/>
    <col collapsed="false" customWidth="true" hidden="false" outlineLevel="0" max="6" min="5" style="0" width="16"/>
    <col collapsed="false" customWidth="true" hidden="false" outlineLevel="0" max="7" min="7" style="0" width="14.27"/>
    <col collapsed="false" customWidth="true" hidden="false" outlineLevel="0" max="9" min="8" style="42" width="22"/>
    <col collapsed="false" customWidth="true" hidden="false" outlineLevel="0" max="10" min="10" style="42" width="14"/>
    <col collapsed="false" customWidth="true" hidden="false" outlineLevel="0" max="11" min="11" style="0" width="9.91"/>
    <col collapsed="false" customWidth="true" hidden="false" outlineLevel="0" max="12" min="12" style="0" width="17.54"/>
    <col collapsed="false" customWidth="true" hidden="false" outlineLevel="0" max="13" min="13" style="0" width="17.09"/>
    <col collapsed="false" customWidth="true" hidden="false" outlineLevel="0" max="14" min="14" style="0" width="12.36"/>
  </cols>
  <sheetData>
    <row r="1" customFormat="false" ht="27.75" hidden="false" customHeight="true" outlineLevel="0" collapsed="false">
      <c r="B1" s="43" t="s">
        <v>42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customFormat="false" ht="15.75" hidden="false" customHeight="true" outlineLevel="0" collapsed="false">
      <c r="B2" s="44" t="s">
        <v>43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customFormat="false" ht="21.75" hidden="false" customHeight="true" outlineLevel="0" collapsed="false">
      <c r="B3" s="45" t="s">
        <v>44</v>
      </c>
      <c r="C3" s="45" t="s">
        <v>45</v>
      </c>
      <c r="D3" s="45" t="s">
        <v>46</v>
      </c>
      <c r="E3" s="45" t="s">
        <v>47</v>
      </c>
      <c r="F3" s="45" t="s">
        <v>48</v>
      </c>
      <c r="G3" s="45" t="s">
        <v>49</v>
      </c>
      <c r="H3" s="45" t="s">
        <v>50</v>
      </c>
      <c r="I3" s="45" t="s">
        <v>51</v>
      </c>
      <c r="J3" s="45" t="s">
        <v>52</v>
      </c>
      <c r="K3" s="45" t="s">
        <v>53</v>
      </c>
      <c r="L3" s="45" t="s">
        <v>54</v>
      </c>
      <c r="M3" s="45" t="s">
        <v>55</v>
      </c>
      <c r="N3" s="45" t="s">
        <v>56</v>
      </c>
    </row>
    <row r="4" customFormat="false" ht="16.5" hidden="false" customHeight="true" outlineLevel="0" collapsed="false">
      <c r="B4" s="46" t="s">
        <v>57</v>
      </c>
      <c r="C4" s="47" t="n">
        <v>101</v>
      </c>
      <c r="D4" s="48" t="n">
        <v>0</v>
      </c>
      <c r="E4" s="48" t="n">
        <v>1</v>
      </c>
      <c r="F4" s="47" t="n">
        <v>480</v>
      </c>
      <c r="G4" s="49"/>
      <c r="H4" s="49" t="n">
        <v>1550</v>
      </c>
      <c r="I4" s="50" t="s">
        <v>58</v>
      </c>
      <c r="J4" s="51"/>
      <c r="K4" s="51"/>
      <c r="L4" s="52" t="n">
        <f aca="false">IF(UPPER(I4)="VACANT",0,G4*12)</f>
        <v>0</v>
      </c>
      <c r="M4" s="52" t="n">
        <f aca="false">IF(UPPER(I4)="VACANT",0,H4*12)</f>
        <v>0</v>
      </c>
      <c r="N4" s="53" t="str">
        <f aca="false">IF(G4&gt;0,(H4-G4)/G4,"")</f>
        <v/>
      </c>
    </row>
    <row r="5" customFormat="false" ht="16.5" hidden="false" customHeight="true" outlineLevel="0" collapsed="false">
      <c r="B5" s="46" t="s">
        <v>57</v>
      </c>
      <c r="C5" s="47" t="n">
        <v>102</v>
      </c>
      <c r="D5" s="48" t="n">
        <v>0</v>
      </c>
      <c r="E5" s="48" t="n">
        <v>1</v>
      </c>
      <c r="F5" s="47" t="n">
        <v>480</v>
      </c>
      <c r="G5" s="49" t="n">
        <v>1450</v>
      </c>
      <c r="H5" s="49" t="n">
        <v>1550</v>
      </c>
      <c r="I5" s="50" t="s">
        <v>59</v>
      </c>
      <c r="J5" s="51" t="n">
        <v>45658</v>
      </c>
      <c r="K5" s="51" t="n">
        <v>46752</v>
      </c>
      <c r="L5" s="52" t="n">
        <f aca="false">IF(UPPER(I5)="VACANT",0,G5*12)</f>
        <v>17400</v>
      </c>
      <c r="M5" s="52" t="n">
        <f aca="false">IF(UPPER(I5)="VACANT",0,H5*12)</f>
        <v>18600</v>
      </c>
      <c r="N5" s="53" t="n">
        <f aca="false">IF(G5&gt;0,(H5-G5)/G5,"")</f>
        <v>0.0689655172413793</v>
      </c>
    </row>
    <row r="6" customFormat="false" ht="16.5" hidden="false" customHeight="true" outlineLevel="0" collapsed="false">
      <c r="B6" s="46" t="s">
        <v>57</v>
      </c>
      <c r="C6" s="47" t="n">
        <v>103</v>
      </c>
      <c r="D6" s="48" t="n">
        <v>0</v>
      </c>
      <c r="E6" s="48" t="n">
        <v>1</v>
      </c>
      <c r="F6" s="47" t="n">
        <v>480</v>
      </c>
      <c r="G6" s="49" t="n">
        <v>1450</v>
      </c>
      <c r="H6" s="49" t="n">
        <v>1550</v>
      </c>
      <c r="I6" s="50" t="s">
        <v>59</v>
      </c>
      <c r="J6" s="51" t="n">
        <v>45658</v>
      </c>
      <c r="K6" s="51" t="n">
        <v>46752</v>
      </c>
      <c r="L6" s="52" t="n">
        <f aca="false">IF(UPPER(I6)="VACANT",0,G6*12)</f>
        <v>17400</v>
      </c>
      <c r="M6" s="52" t="n">
        <f aca="false">IF(UPPER(I6)="VACANT",0,H6*12)</f>
        <v>18600</v>
      </c>
      <c r="N6" s="53" t="n">
        <f aca="false">IF(G6&gt;0,(H6-G6)/G6,"")</f>
        <v>0.0689655172413793</v>
      </c>
    </row>
    <row r="7" customFormat="false" ht="16.5" hidden="false" customHeight="true" outlineLevel="0" collapsed="false">
      <c r="B7" s="46" t="s">
        <v>57</v>
      </c>
      <c r="C7" s="47" t="n">
        <v>104</v>
      </c>
      <c r="D7" s="48" t="n">
        <v>0</v>
      </c>
      <c r="E7" s="48" t="n">
        <v>1</v>
      </c>
      <c r="F7" s="47" t="n">
        <v>480</v>
      </c>
      <c r="G7" s="49" t="n">
        <v>1450</v>
      </c>
      <c r="H7" s="49" t="n">
        <v>1550</v>
      </c>
      <c r="I7" s="50" t="s">
        <v>59</v>
      </c>
      <c r="J7" s="51" t="n">
        <v>45658</v>
      </c>
      <c r="K7" s="51" t="n">
        <v>46752</v>
      </c>
      <c r="L7" s="52" t="n">
        <f aca="false">IF(UPPER(I7)="VACANT",0,G7*12)</f>
        <v>17400</v>
      </c>
      <c r="M7" s="52" t="n">
        <f aca="false">IF(UPPER(I7)="VACANT",0,H7*12)</f>
        <v>18600</v>
      </c>
      <c r="N7" s="53" t="n">
        <f aca="false">IF(G7&gt;0,(H7-G7)/G7,"")</f>
        <v>0.0689655172413793</v>
      </c>
    </row>
    <row r="8" customFormat="false" ht="16.5" hidden="false" customHeight="true" outlineLevel="0" collapsed="false">
      <c r="B8" s="46" t="s">
        <v>57</v>
      </c>
      <c r="C8" s="47" t="n">
        <v>105</v>
      </c>
      <c r="D8" s="48" t="n">
        <v>0</v>
      </c>
      <c r="E8" s="48" t="n">
        <v>1</v>
      </c>
      <c r="F8" s="47" t="n">
        <v>480</v>
      </c>
      <c r="G8" s="49" t="n">
        <v>1450</v>
      </c>
      <c r="H8" s="49" t="n">
        <v>1550</v>
      </c>
      <c r="I8" s="50" t="s">
        <v>59</v>
      </c>
      <c r="J8" s="51" t="n">
        <v>45658</v>
      </c>
      <c r="K8" s="51" t="n">
        <v>46752</v>
      </c>
      <c r="L8" s="52" t="n">
        <f aca="false">IF(UPPER(I8)="VACANT",0,G8*12)</f>
        <v>17400</v>
      </c>
      <c r="M8" s="52" t="n">
        <f aca="false">IF(UPPER(I8)="VACANT",0,H8*12)</f>
        <v>18600</v>
      </c>
      <c r="N8" s="53" t="n">
        <f aca="false">IF(G8&gt;0,(H8-G8)/G8,"")</f>
        <v>0.0689655172413793</v>
      </c>
    </row>
    <row r="9" customFormat="false" ht="16.5" hidden="false" customHeight="true" outlineLevel="0" collapsed="false">
      <c r="B9" s="46" t="s">
        <v>57</v>
      </c>
      <c r="C9" s="47" t="n">
        <v>106</v>
      </c>
      <c r="D9" s="48" t="n">
        <v>0</v>
      </c>
      <c r="E9" s="48" t="n">
        <v>1</v>
      </c>
      <c r="F9" s="47" t="n">
        <v>480</v>
      </c>
      <c r="G9" s="49" t="n">
        <v>1450</v>
      </c>
      <c r="H9" s="49" t="n">
        <v>1550</v>
      </c>
      <c r="I9" s="50" t="s">
        <v>59</v>
      </c>
      <c r="J9" s="51" t="n">
        <v>45658</v>
      </c>
      <c r="K9" s="51" t="n">
        <v>46752</v>
      </c>
      <c r="L9" s="52" t="n">
        <f aca="false">IF(UPPER(I9)="VACANT",0,G9*12)</f>
        <v>17400</v>
      </c>
      <c r="M9" s="52" t="n">
        <f aca="false">IF(UPPER(I9)="VACANT",0,H9*12)</f>
        <v>18600</v>
      </c>
      <c r="N9" s="53" t="n">
        <f aca="false">IF(G9&gt;0,(H9-G9)/G9,"")</f>
        <v>0.0689655172413793</v>
      </c>
    </row>
    <row r="10" customFormat="false" ht="19.5" hidden="false" customHeight="true" outlineLevel="0" collapsed="false">
      <c r="B10" s="46" t="s">
        <v>57</v>
      </c>
      <c r="C10" s="47" t="n">
        <v>107</v>
      </c>
      <c r="D10" s="48" t="n">
        <v>0</v>
      </c>
      <c r="E10" s="48" t="n">
        <v>1</v>
      </c>
      <c r="F10" s="47" t="n">
        <v>480</v>
      </c>
      <c r="G10" s="49" t="n">
        <v>1450</v>
      </c>
      <c r="H10" s="49" t="n">
        <v>1550</v>
      </c>
      <c r="I10" s="50" t="s">
        <v>59</v>
      </c>
      <c r="J10" s="51" t="n">
        <v>45658</v>
      </c>
      <c r="K10" s="51" t="n">
        <v>46752</v>
      </c>
      <c r="L10" s="52" t="n">
        <f aca="false">IF(UPPER(I10)="VACANT",0,G10*12)</f>
        <v>17400</v>
      </c>
      <c r="M10" s="52" t="n">
        <f aca="false">IF(UPPER(I10)="VACANT",0,H10*12)</f>
        <v>18600</v>
      </c>
      <c r="N10" s="53" t="n">
        <f aca="false">IF(G10&gt;0,(H10-G10)/G10,"")</f>
        <v>0.0689655172413793</v>
      </c>
    </row>
    <row r="11" customFormat="false" ht="14.25" hidden="false" customHeight="true" outlineLevel="0" collapsed="false">
      <c r="B11" s="46" t="s">
        <v>57</v>
      </c>
      <c r="C11" s="47" t="n">
        <v>108</v>
      </c>
      <c r="D11" s="48" t="n">
        <v>0</v>
      </c>
      <c r="E11" s="48" t="n">
        <v>1</v>
      </c>
      <c r="F11" s="47" t="n">
        <v>480</v>
      </c>
      <c r="G11" s="49" t="n">
        <v>1450</v>
      </c>
      <c r="H11" s="49" t="n">
        <v>1550</v>
      </c>
      <c r="I11" s="50" t="s">
        <v>59</v>
      </c>
      <c r="J11" s="51" t="n">
        <v>45658</v>
      </c>
      <c r="K11" s="51" t="n">
        <v>46752</v>
      </c>
      <c r="L11" s="52" t="n">
        <f aca="false">IF(UPPER(I11)="VACANT",0,G11*12)</f>
        <v>17400</v>
      </c>
      <c r="M11" s="52" t="n">
        <f aca="false">IF(UPPER(I11)="VACANT",0,H11*12)</f>
        <v>18600</v>
      </c>
      <c r="N11" s="53" t="n">
        <f aca="false">IF(G11&gt;0,(H11-G11)/G11,"")</f>
        <v>0.0689655172413793</v>
      </c>
    </row>
    <row r="12" customFormat="false" ht="14.25" hidden="false" customHeight="true" outlineLevel="0" collapsed="false">
      <c r="B12" s="46" t="s">
        <v>57</v>
      </c>
      <c r="C12" s="47" t="n">
        <v>109</v>
      </c>
      <c r="D12" s="48" t="n">
        <v>0</v>
      </c>
      <c r="E12" s="48" t="n">
        <v>1</v>
      </c>
      <c r="F12" s="47" t="n">
        <v>480</v>
      </c>
      <c r="G12" s="49" t="n">
        <v>1450</v>
      </c>
      <c r="H12" s="49" t="n">
        <v>1550</v>
      </c>
      <c r="I12" s="50" t="s">
        <v>59</v>
      </c>
      <c r="J12" s="51" t="n">
        <v>45658</v>
      </c>
      <c r="K12" s="51" t="n">
        <v>46752</v>
      </c>
      <c r="L12" s="52" t="n">
        <f aca="false">IF(UPPER(I12)="VACANT",0,G12*12)</f>
        <v>17400</v>
      </c>
      <c r="M12" s="52" t="n">
        <f aca="false">IF(UPPER(I12)="VACANT",0,H12*12)</f>
        <v>18600</v>
      </c>
      <c r="N12" s="53" t="n">
        <f aca="false">IF(G12&gt;0,(H12-G12)/G12,"")</f>
        <v>0.0689655172413793</v>
      </c>
    </row>
    <row r="13" customFormat="false" ht="14.25" hidden="false" customHeight="true" outlineLevel="0" collapsed="false">
      <c r="B13" s="46" t="s">
        <v>57</v>
      </c>
      <c r="C13" s="47" t="n">
        <v>110</v>
      </c>
      <c r="D13" s="48" t="n">
        <v>0</v>
      </c>
      <c r="E13" s="48" t="n">
        <v>1</v>
      </c>
      <c r="F13" s="47" t="n">
        <v>480</v>
      </c>
      <c r="G13" s="49" t="n">
        <v>1450</v>
      </c>
      <c r="H13" s="49" t="n">
        <v>1550</v>
      </c>
      <c r="I13" s="50" t="s">
        <v>59</v>
      </c>
      <c r="J13" s="51" t="n">
        <v>45658</v>
      </c>
      <c r="K13" s="51" t="n">
        <v>46752</v>
      </c>
      <c r="L13" s="52" t="n">
        <f aca="false">IF(UPPER(I13)="VACANT",0,G13*12)</f>
        <v>17400</v>
      </c>
      <c r="M13" s="52" t="n">
        <f aca="false">IF(UPPER(I13)="VACANT",0,H13*12)</f>
        <v>18600</v>
      </c>
      <c r="N13" s="53" t="n">
        <f aca="false">IF(G13&gt;0,(H13-G13)/G13,"")</f>
        <v>0.0689655172413793</v>
      </c>
    </row>
    <row r="14" customFormat="false" ht="14.25" hidden="false" customHeight="true" outlineLevel="0" collapsed="false">
      <c r="B14" s="46" t="s">
        <v>57</v>
      </c>
      <c r="C14" s="47" t="n">
        <v>111</v>
      </c>
      <c r="D14" s="48" t="n">
        <v>0</v>
      </c>
      <c r="E14" s="48" t="n">
        <v>1</v>
      </c>
      <c r="F14" s="47" t="n">
        <v>480</v>
      </c>
      <c r="G14" s="49" t="n">
        <v>1450</v>
      </c>
      <c r="H14" s="49" t="n">
        <v>1550</v>
      </c>
      <c r="I14" s="50" t="s">
        <v>59</v>
      </c>
      <c r="J14" s="51" t="n">
        <v>45658</v>
      </c>
      <c r="K14" s="51" t="n">
        <v>46752</v>
      </c>
      <c r="L14" s="52" t="n">
        <f aca="false">IF(UPPER(I14)="VACANT",0,G14*12)</f>
        <v>17400</v>
      </c>
      <c r="M14" s="52" t="n">
        <f aca="false">IF(UPPER(I14)="VACANT",0,H14*12)</f>
        <v>18600</v>
      </c>
      <c r="N14" s="53" t="n">
        <f aca="false">IF(G14&gt;0,(H14-G14)/G14,"")</f>
        <v>0.0689655172413793</v>
      </c>
    </row>
    <row r="15" customFormat="false" ht="14.25" hidden="false" customHeight="true" outlineLevel="0" collapsed="false">
      <c r="B15" s="46" t="s">
        <v>57</v>
      </c>
      <c r="C15" s="47" t="n">
        <v>112</v>
      </c>
      <c r="D15" s="48" t="n">
        <v>0</v>
      </c>
      <c r="E15" s="48" t="n">
        <v>1</v>
      </c>
      <c r="F15" s="47" t="n">
        <v>480</v>
      </c>
      <c r="G15" s="49" t="n">
        <v>1450</v>
      </c>
      <c r="H15" s="49" t="n">
        <v>1550</v>
      </c>
      <c r="I15" s="50" t="s">
        <v>59</v>
      </c>
      <c r="J15" s="51" t="n">
        <v>45658</v>
      </c>
      <c r="K15" s="51" t="n">
        <v>46752</v>
      </c>
      <c r="L15" s="52" t="n">
        <f aca="false">IF(UPPER(I15)="VACANT",0,G15*12)</f>
        <v>17400</v>
      </c>
      <c r="M15" s="52" t="n">
        <f aca="false">IF(UPPER(I15)="VACANT",0,H15*12)</f>
        <v>18600</v>
      </c>
      <c r="N15" s="53" t="n">
        <f aca="false">IF(G15&gt;0,(H15-G15)/G15,"")</f>
        <v>0.0689655172413793</v>
      </c>
    </row>
    <row r="16" customFormat="false" ht="14.25" hidden="false" customHeight="true" outlineLevel="0" collapsed="false">
      <c r="B16" s="46" t="s">
        <v>57</v>
      </c>
      <c r="C16" s="47" t="n">
        <v>113</v>
      </c>
      <c r="D16" s="48" t="n">
        <v>0</v>
      </c>
      <c r="E16" s="48" t="n">
        <v>1</v>
      </c>
      <c r="F16" s="47" t="n">
        <v>480</v>
      </c>
      <c r="G16" s="49" t="n">
        <v>1450</v>
      </c>
      <c r="H16" s="49" t="n">
        <v>1550</v>
      </c>
      <c r="I16" s="50" t="s">
        <v>59</v>
      </c>
      <c r="J16" s="51" t="n">
        <v>45658</v>
      </c>
      <c r="K16" s="51" t="n">
        <v>46752</v>
      </c>
      <c r="L16" s="52" t="n">
        <f aca="false">IF(UPPER(I16)="VACANT",0,G16*12)</f>
        <v>17400</v>
      </c>
      <c r="M16" s="52" t="n">
        <f aca="false">IF(UPPER(I16)="VACANT",0,H16*12)</f>
        <v>18600</v>
      </c>
      <c r="N16" s="53" t="n">
        <f aca="false">IF(G16&gt;0,(H16-G16)/G16,"")</f>
        <v>0.0689655172413793</v>
      </c>
    </row>
    <row r="17" customFormat="false" ht="14.25" hidden="false" customHeight="true" outlineLevel="0" collapsed="false">
      <c r="B17" s="46" t="s">
        <v>57</v>
      </c>
      <c r="C17" s="47" t="n">
        <v>114</v>
      </c>
      <c r="D17" s="48" t="n">
        <v>0</v>
      </c>
      <c r="E17" s="48" t="n">
        <v>1</v>
      </c>
      <c r="F17" s="47" t="n">
        <v>480</v>
      </c>
      <c r="G17" s="49" t="n">
        <v>1450</v>
      </c>
      <c r="H17" s="49" t="n">
        <v>1550</v>
      </c>
      <c r="I17" s="50" t="s">
        <v>59</v>
      </c>
      <c r="J17" s="51" t="n">
        <v>45658</v>
      </c>
      <c r="K17" s="51" t="n">
        <v>46752</v>
      </c>
      <c r="L17" s="52" t="n">
        <f aca="false">IF(UPPER(I17)="VACANT",0,G17*12)</f>
        <v>17400</v>
      </c>
      <c r="M17" s="52" t="n">
        <f aca="false">IF(UPPER(I17)="VACANT",0,H17*12)</f>
        <v>18600</v>
      </c>
      <c r="N17" s="53" t="n">
        <f aca="false">IF(G17&gt;0,(H17-G17)/G17,"")</f>
        <v>0.0689655172413793</v>
      </c>
    </row>
    <row r="18" customFormat="false" ht="14.25" hidden="false" customHeight="true" outlineLevel="0" collapsed="false">
      <c r="B18" s="46" t="s">
        <v>57</v>
      </c>
      <c r="C18" s="47" t="n">
        <v>115</v>
      </c>
      <c r="D18" s="48" t="n">
        <v>0</v>
      </c>
      <c r="E18" s="48" t="n">
        <v>1</v>
      </c>
      <c r="F18" s="47" t="n">
        <v>480</v>
      </c>
      <c r="G18" s="49" t="n">
        <v>1450</v>
      </c>
      <c r="H18" s="49" t="n">
        <v>1550</v>
      </c>
      <c r="I18" s="50" t="s">
        <v>59</v>
      </c>
      <c r="J18" s="51" t="n">
        <v>45658</v>
      </c>
      <c r="K18" s="51" t="n">
        <v>46752</v>
      </c>
      <c r="L18" s="52" t="n">
        <f aca="false">IF(UPPER(I18)="VACANT",0,G18*12)</f>
        <v>17400</v>
      </c>
      <c r="M18" s="52" t="n">
        <f aca="false">IF(UPPER(I18)="VACANT",0,H18*12)</f>
        <v>18600</v>
      </c>
      <c r="N18" s="53" t="n">
        <f aca="false">IF(G18&gt;0,(H18-G18)/G18,"")</f>
        <v>0.0689655172413793</v>
      </c>
    </row>
    <row r="19" customFormat="false" ht="14.25" hidden="false" customHeight="true" outlineLevel="0" collapsed="false">
      <c r="B19" s="46" t="s">
        <v>57</v>
      </c>
      <c r="C19" s="47" t="n">
        <v>116</v>
      </c>
      <c r="D19" s="48" t="n">
        <v>0</v>
      </c>
      <c r="E19" s="48" t="n">
        <v>1</v>
      </c>
      <c r="F19" s="47" t="n">
        <v>480</v>
      </c>
      <c r="G19" s="49" t="n">
        <v>1450</v>
      </c>
      <c r="H19" s="49" t="n">
        <v>1550</v>
      </c>
      <c r="I19" s="50" t="s">
        <v>59</v>
      </c>
      <c r="J19" s="51" t="n">
        <v>45658</v>
      </c>
      <c r="K19" s="51" t="n">
        <v>46752</v>
      </c>
      <c r="L19" s="52" t="n">
        <f aca="false">IF(UPPER(I19)="VACANT",0,G19*12)</f>
        <v>17400</v>
      </c>
      <c r="M19" s="52" t="n">
        <f aca="false">IF(UPPER(I19)="VACANT",0,H19*12)</f>
        <v>18600</v>
      </c>
      <c r="N19" s="53" t="n">
        <f aca="false">IF(G19&gt;0,(H19-G19)/G19,"")</f>
        <v>0.0689655172413793</v>
      </c>
    </row>
    <row r="20" customFormat="false" ht="14.25" hidden="false" customHeight="true" outlineLevel="0" collapsed="false">
      <c r="B20" s="46" t="s">
        <v>57</v>
      </c>
      <c r="C20" s="47" t="n">
        <v>117</v>
      </c>
      <c r="D20" s="48" t="n">
        <v>0</v>
      </c>
      <c r="E20" s="48" t="n">
        <v>1</v>
      </c>
      <c r="F20" s="47" t="n">
        <v>480</v>
      </c>
      <c r="G20" s="49" t="n">
        <v>1450</v>
      </c>
      <c r="H20" s="49" t="n">
        <v>1550</v>
      </c>
      <c r="I20" s="50" t="s">
        <v>59</v>
      </c>
      <c r="J20" s="51" t="n">
        <v>45658</v>
      </c>
      <c r="K20" s="51" t="n">
        <v>46752</v>
      </c>
      <c r="L20" s="52" t="n">
        <f aca="false">IF(UPPER(I20)="VACANT",0,G20*12)</f>
        <v>17400</v>
      </c>
      <c r="M20" s="52" t="n">
        <f aca="false">IF(UPPER(I20)="VACANT",0,H20*12)</f>
        <v>18600</v>
      </c>
      <c r="N20" s="53" t="n">
        <f aca="false">IF(G20&gt;0,(H20-G20)/G20,"")</f>
        <v>0.0689655172413793</v>
      </c>
    </row>
    <row r="21" customFormat="false" ht="14.25" hidden="false" customHeight="true" outlineLevel="0" collapsed="false">
      <c r="B21" s="46" t="s">
        <v>57</v>
      </c>
      <c r="C21" s="47" t="n">
        <v>118</v>
      </c>
      <c r="D21" s="48" t="n">
        <v>0</v>
      </c>
      <c r="E21" s="48" t="n">
        <v>1</v>
      </c>
      <c r="F21" s="47" t="n">
        <v>480</v>
      </c>
      <c r="G21" s="49" t="n">
        <v>1450</v>
      </c>
      <c r="H21" s="49" t="n">
        <v>1550</v>
      </c>
      <c r="I21" s="50" t="s">
        <v>59</v>
      </c>
      <c r="J21" s="51" t="n">
        <v>45658</v>
      </c>
      <c r="K21" s="51" t="n">
        <v>46752</v>
      </c>
      <c r="L21" s="52" t="n">
        <f aca="false">IF(UPPER(I21)="VACANT",0,G21*12)</f>
        <v>17400</v>
      </c>
      <c r="M21" s="52" t="n">
        <f aca="false">IF(UPPER(I21)="VACANT",0,H21*12)</f>
        <v>18600</v>
      </c>
      <c r="N21" s="53" t="n">
        <f aca="false">IF(G21&gt;0,(H21-G21)/G21,"")</f>
        <v>0.0689655172413793</v>
      </c>
    </row>
    <row r="22" customFormat="false" ht="14.25" hidden="false" customHeight="true" outlineLevel="0" collapsed="false">
      <c r="B22" s="46" t="s">
        <v>57</v>
      </c>
      <c r="C22" s="47" t="n">
        <v>119</v>
      </c>
      <c r="D22" s="48" t="n">
        <v>0</v>
      </c>
      <c r="E22" s="48" t="n">
        <v>1</v>
      </c>
      <c r="F22" s="47" t="n">
        <v>480</v>
      </c>
      <c r="G22" s="49" t="n">
        <v>1450</v>
      </c>
      <c r="H22" s="49" t="n">
        <v>1550</v>
      </c>
      <c r="I22" s="50" t="s">
        <v>59</v>
      </c>
      <c r="J22" s="51" t="n">
        <v>45658</v>
      </c>
      <c r="K22" s="51" t="n">
        <v>46752</v>
      </c>
      <c r="L22" s="52" t="n">
        <f aca="false">IF(UPPER(I22)="VACANT",0,G22*12)</f>
        <v>17400</v>
      </c>
      <c r="M22" s="52" t="n">
        <f aca="false">IF(UPPER(I22)="VACANT",0,H22*12)</f>
        <v>18600</v>
      </c>
      <c r="N22" s="53" t="n">
        <f aca="false">IF(G22&gt;0,(H22-G22)/G22,"")</f>
        <v>0.0689655172413793</v>
      </c>
    </row>
    <row r="23" customFormat="false" ht="14.25" hidden="false" customHeight="true" outlineLevel="0" collapsed="false">
      <c r="B23" s="46" t="s">
        <v>57</v>
      </c>
      <c r="C23" s="47" t="n">
        <v>120</v>
      </c>
      <c r="D23" s="48" t="n">
        <v>0</v>
      </c>
      <c r="E23" s="48" t="n">
        <v>1</v>
      </c>
      <c r="F23" s="47" t="n">
        <v>480</v>
      </c>
      <c r="G23" s="49" t="n">
        <v>1450</v>
      </c>
      <c r="H23" s="49" t="n">
        <v>1550</v>
      </c>
      <c r="I23" s="50" t="s">
        <v>59</v>
      </c>
      <c r="J23" s="51" t="n">
        <v>45658</v>
      </c>
      <c r="K23" s="51" t="n">
        <v>46752</v>
      </c>
      <c r="L23" s="52" t="n">
        <f aca="false">IF(UPPER(I23)="VACANT",0,G23*12)</f>
        <v>17400</v>
      </c>
      <c r="M23" s="52" t="n">
        <f aca="false">IF(UPPER(I23)="VACANT",0,H23*12)</f>
        <v>18600</v>
      </c>
      <c r="N23" s="53" t="n">
        <f aca="false">IF(G23&gt;0,(H23-G23)/G23,"")</f>
        <v>0.0689655172413793</v>
      </c>
    </row>
    <row r="24" customFormat="false" ht="14.25" hidden="false" customHeight="true" outlineLevel="0" collapsed="false">
      <c r="B24" s="46" t="s">
        <v>57</v>
      </c>
      <c r="C24" s="47" t="n">
        <v>121</v>
      </c>
      <c r="D24" s="48" t="n">
        <v>0</v>
      </c>
      <c r="E24" s="48" t="n">
        <v>1</v>
      </c>
      <c r="F24" s="47" t="n">
        <v>480</v>
      </c>
      <c r="G24" s="49" t="n">
        <v>1450</v>
      </c>
      <c r="H24" s="49" t="n">
        <v>1550</v>
      </c>
      <c r="I24" s="50" t="s">
        <v>59</v>
      </c>
      <c r="J24" s="51" t="n">
        <v>45658</v>
      </c>
      <c r="K24" s="51" t="n">
        <v>46752</v>
      </c>
      <c r="L24" s="52" t="n">
        <f aca="false">IF(UPPER(I24)="VACANT",0,G24*12)</f>
        <v>17400</v>
      </c>
      <c r="M24" s="52" t="n">
        <f aca="false">IF(UPPER(I24)="VACANT",0,H24*12)</f>
        <v>18600</v>
      </c>
      <c r="N24" s="53" t="n">
        <f aca="false">IF(G24&gt;0,(H24-G24)/G24,"")</f>
        <v>0.0689655172413793</v>
      </c>
    </row>
    <row r="25" customFormat="false" ht="14.25" hidden="false" customHeight="true" outlineLevel="0" collapsed="false">
      <c r="B25" s="46" t="s">
        <v>57</v>
      </c>
      <c r="C25" s="47" t="n">
        <v>122</v>
      </c>
      <c r="D25" s="48" t="n">
        <v>0</v>
      </c>
      <c r="E25" s="48" t="n">
        <v>1</v>
      </c>
      <c r="F25" s="47" t="n">
        <v>480</v>
      </c>
      <c r="G25" s="49" t="n">
        <v>1450</v>
      </c>
      <c r="H25" s="49" t="n">
        <v>1550</v>
      </c>
      <c r="I25" s="50" t="s">
        <v>59</v>
      </c>
      <c r="J25" s="51" t="n">
        <v>45658</v>
      </c>
      <c r="K25" s="51" t="n">
        <v>46752</v>
      </c>
      <c r="L25" s="52" t="n">
        <f aca="false">IF(UPPER(I25)="VACANT",0,G25*12)</f>
        <v>17400</v>
      </c>
      <c r="M25" s="52" t="n">
        <f aca="false">IF(UPPER(I25)="VACANT",0,H25*12)</f>
        <v>18600</v>
      </c>
      <c r="N25" s="53" t="n">
        <f aca="false">IF(G25&gt;0,(H25-G25)/G25,"")</f>
        <v>0.0689655172413793</v>
      </c>
    </row>
    <row r="26" customFormat="false" ht="14.25" hidden="false" customHeight="true" outlineLevel="0" collapsed="false">
      <c r="B26" s="46" t="s">
        <v>60</v>
      </c>
      <c r="C26" s="47" t="n">
        <v>123</v>
      </c>
      <c r="D26" s="48" t="n">
        <v>1</v>
      </c>
      <c r="E26" s="48" t="n">
        <v>1</v>
      </c>
      <c r="F26" s="47" t="n">
        <v>720</v>
      </c>
      <c r="G26" s="49" t="n">
        <v>1750</v>
      </c>
      <c r="H26" s="49" t="n">
        <v>1895</v>
      </c>
      <c r="I26" s="50" t="s">
        <v>59</v>
      </c>
      <c r="J26" s="51" t="n">
        <v>45658</v>
      </c>
      <c r="K26" s="51" t="n">
        <v>46752</v>
      </c>
      <c r="L26" s="52" t="n">
        <f aca="false">IF(UPPER(I26)="VACANT",0,G26*12)</f>
        <v>21000</v>
      </c>
      <c r="M26" s="52" t="n">
        <f aca="false">IF(UPPER(I26)="VACANT",0,H26*12)</f>
        <v>22740</v>
      </c>
      <c r="N26" s="53" t="n">
        <f aca="false">IF(G26&gt;0,(H26-G26)/G26,"")</f>
        <v>0.0828571428571429</v>
      </c>
    </row>
    <row r="27" customFormat="false" ht="14.25" hidden="false" customHeight="true" outlineLevel="0" collapsed="false">
      <c r="B27" s="46" t="s">
        <v>60</v>
      </c>
      <c r="C27" s="47" t="n">
        <v>124</v>
      </c>
      <c r="D27" s="48" t="n">
        <v>1</v>
      </c>
      <c r="E27" s="48" t="n">
        <v>1</v>
      </c>
      <c r="F27" s="47" t="n">
        <v>720</v>
      </c>
      <c r="G27" s="49" t="n">
        <v>1750</v>
      </c>
      <c r="H27" s="49" t="n">
        <v>1895</v>
      </c>
      <c r="I27" s="50" t="s">
        <v>59</v>
      </c>
      <c r="J27" s="51" t="n">
        <v>45658</v>
      </c>
      <c r="K27" s="51" t="n">
        <v>46752</v>
      </c>
      <c r="L27" s="52" t="n">
        <f aca="false">IF(UPPER(I27)="VACANT",0,G27*12)</f>
        <v>21000</v>
      </c>
      <c r="M27" s="52" t="n">
        <f aca="false">IF(UPPER(I27)="VACANT",0,H27*12)</f>
        <v>22740</v>
      </c>
      <c r="N27" s="53" t="n">
        <f aca="false">IF(G27&gt;0,(H27-G27)/G27,"")</f>
        <v>0.0828571428571429</v>
      </c>
    </row>
    <row r="28" customFormat="false" ht="14.25" hidden="false" customHeight="true" outlineLevel="0" collapsed="false">
      <c r="B28" s="46" t="s">
        <v>60</v>
      </c>
      <c r="C28" s="47" t="n">
        <v>125</v>
      </c>
      <c r="D28" s="48" t="n">
        <v>1</v>
      </c>
      <c r="E28" s="48" t="n">
        <v>1</v>
      </c>
      <c r="F28" s="47" t="n">
        <v>720</v>
      </c>
      <c r="G28" s="49"/>
      <c r="H28" s="49" t="n">
        <v>1895</v>
      </c>
      <c r="I28" s="50" t="s">
        <v>58</v>
      </c>
      <c r="J28" s="51"/>
      <c r="K28" s="51"/>
      <c r="L28" s="52" t="n">
        <f aca="false">IF(UPPER(I28)="VACANT",0,G28*12)</f>
        <v>0</v>
      </c>
      <c r="M28" s="52" t="n">
        <f aca="false">IF(UPPER(I28)="VACANT",0,H28*12)</f>
        <v>0</v>
      </c>
      <c r="N28" s="53" t="str">
        <f aca="false">IF(G28&gt;0,(H28-G28)/G28,"")</f>
        <v/>
      </c>
    </row>
    <row r="29" customFormat="false" ht="14.25" hidden="false" customHeight="true" outlineLevel="0" collapsed="false">
      <c r="B29" s="46" t="s">
        <v>60</v>
      </c>
      <c r="C29" s="47" t="n">
        <v>126</v>
      </c>
      <c r="D29" s="48" t="n">
        <v>1</v>
      </c>
      <c r="E29" s="48" t="n">
        <v>1</v>
      </c>
      <c r="F29" s="47" t="n">
        <v>720</v>
      </c>
      <c r="G29" s="49" t="n">
        <v>1750</v>
      </c>
      <c r="H29" s="49" t="n">
        <v>1895</v>
      </c>
      <c r="I29" s="50" t="s">
        <v>59</v>
      </c>
      <c r="J29" s="51" t="n">
        <v>45658</v>
      </c>
      <c r="K29" s="51" t="n">
        <v>46752</v>
      </c>
      <c r="L29" s="52" t="n">
        <f aca="false">IF(UPPER(I29)="VACANT",0,G29*12)</f>
        <v>21000</v>
      </c>
      <c r="M29" s="52" t="n">
        <f aca="false">IF(UPPER(I29)="VACANT",0,H29*12)</f>
        <v>22740</v>
      </c>
      <c r="N29" s="53" t="n">
        <f aca="false">IF(G29&gt;0,(H29-G29)/G29,"")</f>
        <v>0.0828571428571429</v>
      </c>
    </row>
    <row r="30" customFormat="false" ht="14.25" hidden="false" customHeight="true" outlineLevel="0" collapsed="false">
      <c r="B30" s="46" t="s">
        <v>60</v>
      </c>
      <c r="C30" s="47" t="n">
        <v>127</v>
      </c>
      <c r="D30" s="48" t="n">
        <v>1</v>
      </c>
      <c r="E30" s="48" t="n">
        <v>1</v>
      </c>
      <c r="F30" s="47" t="n">
        <v>720</v>
      </c>
      <c r="G30" s="49" t="n">
        <v>1750</v>
      </c>
      <c r="H30" s="49" t="n">
        <v>1895</v>
      </c>
      <c r="I30" s="50" t="s">
        <v>59</v>
      </c>
      <c r="J30" s="51" t="n">
        <v>45658</v>
      </c>
      <c r="K30" s="51" t="n">
        <v>46752</v>
      </c>
      <c r="L30" s="52" t="n">
        <f aca="false">IF(UPPER(I30)="VACANT",0,G30*12)</f>
        <v>21000</v>
      </c>
      <c r="M30" s="52" t="n">
        <f aca="false">IF(UPPER(I30)="VACANT",0,H30*12)</f>
        <v>22740</v>
      </c>
      <c r="N30" s="53" t="n">
        <f aca="false">IF(G30&gt;0,(H30-G30)/G30,"")</f>
        <v>0.0828571428571429</v>
      </c>
    </row>
    <row r="31" customFormat="false" ht="14.25" hidden="false" customHeight="true" outlineLevel="0" collapsed="false">
      <c r="B31" s="46" t="s">
        <v>60</v>
      </c>
      <c r="C31" s="47" t="n">
        <v>128</v>
      </c>
      <c r="D31" s="48" t="n">
        <v>1</v>
      </c>
      <c r="E31" s="48" t="n">
        <v>1</v>
      </c>
      <c r="F31" s="47" t="n">
        <v>720</v>
      </c>
      <c r="G31" s="49" t="n">
        <v>1750</v>
      </c>
      <c r="H31" s="49" t="n">
        <v>1895</v>
      </c>
      <c r="I31" s="50" t="s">
        <v>59</v>
      </c>
      <c r="J31" s="51" t="n">
        <v>45658</v>
      </c>
      <c r="K31" s="51" t="n">
        <v>46752</v>
      </c>
      <c r="L31" s="52" t="n">
        <f aca="false">IF(UPPER(I31)="VACANT",0,G31*12)</f>
        <v>21000</v>
      </c>
      <c r="M31" s="52" t="n">
        <f aca="false">IF(UPPER(I31)="VACANT",0,H31*12)</f>
        <v>22740</v>
      </c>
      <c r="N31" s="53" t="n">
        <f aca="false">IF(G31&gt;0,(H31-G31)/G31,"")</f>
        <v>0.0828571428571429</v>
      </c>
    </row>
    <row r="32" customFormat="false" ht="14.25" hidden="false" customHeight="true" outlineLevel="0" collapsed="false">
      <c r="B32" s="46" t="s">
        <v>60</v>
      </c>
      <c r="C32" s="47" t="n">
        <v>129</v>
      </c>
      <c r="D32" s="48" t="n">
        <v>1</v>
      </c>
      <c r="E32" s="48" t="n">
        <v>1</v>
      </c>
      <c r="F32" s="47" t="n">
        <v>720</v>
      </c>
      <c r="G32" s="49"/>
      <c r="H32" s="49" t="n">
        <v>1895</v>
      </c>
      <c r="I32" s="50" t="s">
        <v>58</v>
      </c>
      <c r="J32" s="51"/>
      <c r="K32" s="51"/>
      <c r="L32" s="52" t="n">
        <f aca="false">IF(UPPER(I32)="VACANT",0,G32*12)</f>
        <v>0</v>
      </c>
      <c r="M32" s="52" t="n">
        <f aca="false">IF(UPPER(I32)="VACANT",0,H32*12)</f>
        <v>0</v>
      </c>
      <c r="N32" s="53" t="str">
        <f aca="false">IF(G32&gt;0,(H32-G32)/G32,"")</f>
        <v/>
      </c>
    </row>
    <row r="33" customFormat="false" ht="14.25" hidden="false" customHeight="true" outlineLevel="0" collapsed="false">
      <c r="B33" s="46" t="s">
        <v>60</v>
      </c>
      <c r="C33" s="47" t="n">
        <v>130</v>
      </c>
      <c r="D33" s="48" t="n">
        <v>1</v>
      </c>
      <c r="E33" s="48" t="n">
        <v>1</v>
      </c>
      <c r="F33" s="47" t="n">
        <v>720</v>
      </c>
      <c r="G33" s="49" t="n">
        <v>1750</v>
      </c>
      <c r="H33" s="49" t="n">
        <v>1895</v>
      </c>
      <c r="I33" s="50" t="s">
        <v>59</v>
      </c>
      <c r="J33" s="51" t="n">
        <v>45658</v>
      </c>
      <c r="K33" s="51" t="n">
        <v>46752</v>
      </c>
      <c r="L33" s="52" t="n">
        <f aca="false">IF(UPPER(I33)="VACANT",0,G33*12)</f>
        <v>21000</v>
      </c>
      <c r="M33" s="52" t="n">
        <f aca="false">IF(UPPER(I33)="VACANT",0,H33*12)</f>
        <v>22740</v>
      </c>
      <c r="N33" s="53" t="n">
        <f aca="false">IF(G33&gt;0,(H33-G33)/G33,"")</f>
        <v>0.0828571428571429</v>
      </c>
    </row>
    <row r="34" customFormat="false" ht="14.25" hidden="false" customHeight="true" outlineLevel="0" collapsed="false">
      <c r="B34" s="46" t="s">
        <v>60</v>
      </c>
      <c r="C34" s="47" t="n">
        <v>131</v>
      </c>
      <c r="D34" s="48" t="n">
        <v>1</v>
      </c>
      <c r="E34" s="48" t="n">
        <v>1</v>
      </c>
      <c r="F34" s="47" t="n">
        <v>720</v>
      </c>
      <c r="G34" s="49" t="n">
        <v>1750</v>
      </c>
      <c r="H34" s="49" t="n">
        <v>1895</v>
      </c>
      <c r="I34" s="50" t="s">
        <v>59</v>
      </c>
      <c r="J34" s="51" t="n">
        <v>45658</v>
      </c>
      <c r="K34" s="51" t="n">
        <v>46752</v>
      </c>
      <c r="L34" s="52" t="n">
        <f aca="false">IF(UPPER(I34)="VACANT",0,G34*12)</f>
        <v>21000</v>
      </c>
      <c r="M34" s="52" t="n">
        <f aca="false">IF(UPPER(I34)="VACANT",0,H34*12)</f>
        <v>22740</v>
      </c>
      <c r="N34" s="53" t="n">
        <f aca="false">IF(G34&gt;0,(H34-G34)/G34,"")</f>
        <v>0.0828571428571429</v>
      </c>
    </row>
    <row r="35" customFormat="false" ht="14.25" hidden="false" customHeight="true" outlineLevel="0" collapsed="false">
      <c r="B35" s="46" t="s">
        <v>60</v>
      </c>
      <c r="C35" s="47" t="n">
        <v>132</v>
      </c>
      <c r="D35" s="48" t="n">
        <v>1</v>
      </c>
      <c r="E35" s="48" t="n">
        <v>1</v>
      </c>
      <c r="F35" s="47" t="n">
        <v>720</v>
      </c>
      <c r="G35" s="49" t="n">
        <v>1750</v>
      </c>
      <c r="H35" s="49" t="n">
        <v>1895</v>
      </c>
      <c r="I35" s="50" t="s">
        <v>59</v>
      </c>
      <c r="J35" s="51" t="n">
        <v>45658</v>
      </c>
      <c r="K35" s="51" t="n">
        <v>46752</v>
      </c>
      <c r="L35" s="52" t="n">
        <f aca="false">IF(UPPER(I35)="VACANT",0,G35*12)</f>
        <v>21000</v>
      </c>
      <c r="M35" s="52" t="n">
        <f aca="false">IF(UPPER(I35)="VACANT",0,H35*12)</f>
        <v>22740</v>
      </c>
      <c r="N35" s="53" t="n">
        <f aca="false">IF(G35&gt;0,(H35-G35)/G35,"")</f>
        <v>0.0828571428571429</v>
      </c>
    </row>
    <row r="36" customFormat="false" ht="14.25" hidden="false" customHeight="true" outlineLevel="0" collapsed="false">
      <c r="B36" s="46" t="s">
        <v>60</v>
      </c>
      <c r="C36" s="47" t="n">
        <v>133</v>
      </c>
      <c r="D36" s="48" t="n">
        <v>1</v>
      </c>
      <c r="E36" s="48" t="n">
        <v>1</v>
      </c>
      <c r="F36" s="47" t="n">
        <v>720</v>
      </c>
      <c r="G36" s="49" t="n">
        <v>1750</v>
      </c>
      <c r="H36" s="49" t="n">
        <v>1895</v>
      </c>
      <c r="I36" s="50" t="s">
        <v>59</v>
      </c>
      <c r="J36" s="51" t="n">
        <v>45658</v>
      </c>
      <c r="K36" s="51" t="n">
        <v>46752</v>
      </c>
      <c r="L36" s="52" t="n">
        <f aca="false">IF(UPPER(I36)="VACANT",0,G36*12)</f>
        <v>21000</v>
      </c>
      <c r="M36" s="52" t="n">
        <f aca="false">IF(UPPER(I36)="VACANT",0,H36*12)</f>
        <v>22740</v>
      </c>
      <c r="N36" s="53" t="n">
        <f aca="false">IF(G36&gt;0,(H36-G36)/G36,"")</f>
        <v>0.0828571428571429</v>
      </c>
    </row>
    <row r="37" customFormat="false" ht="14.25" hidden="false" customHeight="true" outlineLevel="0" collapsed="false">
      <c r="B37" s="46" t="s">
        <v>60</v>
      </c>
      <c r="C37" s="47" t="n">
        <v>134</v>
      </c>
      <c r="D37" s="48" t="n">
        <v>1</v>
      </c>
      <c r="E37" s="48" t="n">
        <v>1</v>
      </c>
      <c r="F37" s="47" t="n">
        <v>720</v>
      </c>
      <c r="G37" s="49"/>
      <c r="H37" s="49" t="n">
        <v>1895</v>
      </c>
      <c r="I37" s="50" t="s">
        <v>58</v>
      </c>
      <c r="J37" s="51"/>
      <c r="K37" s="51"/>
      <c r="L37" s="52" t="n">
        <f aca="false">IF(UPPER(I37)="VACANT",0,G37*12)</f>
        <v>0</v>
      </c>
      <c r="M37" s="52" t="n">
        <f aca="false">IF(UPPER(I37)="VACANT",0,H37*12)</f>
        <v>0</v>
      </c>
      <c r="N37" s="53" t="str">
        <f aca="false">IF(G37&gt;0,(H37-G37)/G37,"")</f>
        <v/>
      </c>
    </row>
    <row r="38" customFormat="false" ht="14.25" hidden="false" customHeight="true" outlineLevel="0" collapsed="false">
      <c r="B38" s="46" t="s">
        <v>60</v>
      </c>
      <c r="C38" s="47" t="n">
        <v>135</v>
      </c>
      <c r="D38" s="48" t="n">
        <v>1</v>
      </c>
      <c r="E38" s="48" t="n">
        <v>1</v>
      </c>
      <c r="F38" s="47" t="n">
        <v>720</v>
      </c>
      <c r="G38" s="49" t="n">
        <v>1750</v>
      </c>
      <c r="H38" s="49" t="n">
        <v>1895</v>
      </c>
      <c r="I38" s="50" t="s">
        <v>59</v>
      </c>
      <c r="J38" s="51" t="n">
        <v>45658</v>
      </c>
      <c r="K38" s="51" t="n">
        <v>46752</v>
      </c>
      <c r="L38" s="52" t="n">
        <f aca="false">IF(UPPER(I38)="VACANT",0,G38*12)</f>
        <v>21000</v>
      </c>
      <c r="M38" s="52" t="n">
        <f aca="false">IF(UPPER(I38)="VACANT",0,H38*12)</f>
        <v>22740</v>
      </c>
      <c r="N38" s="53" t="n">
        <f aca="false">IF(G38&gt;0,(H38-G38)/G38,"")</f>
        <v>0.0828571428571429</v>
      </c>
    </row>
    <row r="39" customFormat="false" ht="14.25" hidden="false" customHeight="true" outlineLevel="0" collapsed="false">
      <c r="B39" s="46" t="s">
        <v>60</v>
      </c>
      <c r="C39" s="47" t="n">
        <v>136</v>
      </c>
      <c r="D39" s="48" t="n">
        <v>1</v>
      </c>
      <c r="E39" s="48" t="n">
        <v>1</v>
      </c>
      <c r="F39" s="47" t="n">
        <v>720</v>
      </c>
      <c r="G39" s="49" t="n">
        <v>1750</v>
      </c>
      <c r="H39" s="49" t="n">
        <v>1895</v>
      </c>
      <c r="I39" s="50" t="s">
        <v>59</v>
      </c>
      <c r="J39" s="51" t="n">
        <v>45658</v>
      </c>
      <c r="K39" s="51" t="n">
        <v>46752</v>
      </c>
      <c r="L39" s="52" t="n">
        <f aca="false">IF(UPPER(I39)="VACANT",0,G39*12)</f>
        <v>21000</v>
      </c>
      <c r="M39" s="52" t="n">
        <f aca="false">IF(UPPER(I39)="VACANT",0,H39*12)</f>
        <v>22740</v>
      </c>
      <c r="N39" s="53" t="n">
        <f aca="false">IF(G39&gt;0,(H39-G39)/G39,"")</f>
        <v>0.0828571428571429</v>
      </c>
    </row>
    <row r="40" customFormat="false" ht="14.25" hidden="false" customHeight="true" outlineLevel="0" collapsed="false">
      <c r="B40" s="46" t="s">
        <v>60</v>
      </c>
      <c r="C40" s="47" t="n">
        <v>137</v>
      </c>
      <c r="D40" s="48" t="n">
        <v>1</v>
      </c>
      <c r="E40" s="48" t="n">
        <v>1</v>
      </c>
      <c r="F40" s="47" t="n">
        <v>720</v>
      </c>
      <c r="G40" s="49" t="n">
        <v>1750</v>
      </c>
      <c r="H40" s="49" t="n">
        <v>1895</v>
      </c>
      <c r="I40" s="50" t="s">
        <v>59</v>
      </c>
      <c r="J40" s="51" t="n">
        <v>45658</v>
      </c>
      <c r="K40" s="51" t="n">
        <v>46752</v>
      </c>
      <c r="L40" s="52" t="n">
        <f aca="false">IF(UPPER(I40)="VACANT",0,G40*12)</f>
        <v>21000</v>
      </c>
      <c r="M40" s="52" t="n">
        <f aca="false">IF(UPPER(I40)="VACANT",0,H40*12)</f>
        <v>22740</v>
      </c>
      <c r="N40" s="53" t="n">
        <f aca="false">IF(G40&gt;0,(H40-G40)/G40,"")</f>
        <v>0.0828571428571429</v>
      </c>
    </row>
    <row r="41" customFormat="false" ht="14.25" hidden="false" customHeight="true" outlineLevel="0" collapsed="false">
      <c r="B41" s="46" t="s">
        <v>60</v>
      </c>
      <c r="C41" s="47" t="n">
        <v>138</v>
      </c>
      <c r="D41" s="48" t="n">
        <v>1</v>
      </c>
      <c r="E41" s="48" t="n">
        <v>1</v>
      </c>
      <c r="F41" s="47" t="n">
        <v>720</v>
      </c>
      <c r="G41" s="49" t="n">
        <v>1750</v>
      </c>
      <c r="H41" s="49" t="n">
        <v>1895</v>
      </c>
      <c r="I41" s="50" t="s">
        <v>59</v>
      </c>
      <c r="J41" s="51" t="n">
        <v>45658</v>
      </c>
      <c r="K41" s="51" t="n">
        <v>46752</v>
      </c>
      <c r="L41" s="52" t="n">
        <f aca="false">IF(UPPER(I41)="VACANT",0,G41*12)</f>
        <v>21000</v>
      </c>
      <c r="M41" s="52" t="n">
        <f aca="false">IF(UPPER(I41)="VACANT",0,H41*12)</f>
        <v>22740</v>
      </c>
      <c r="N41" s="53" t="n">
        <f aca="false">IF(G41&gt;0,(H41-G41)/G41,"")</f>
        <v>0.0828571428571429</v>
      </c>
    </row>
    <row r="42" customFormat="false" ht="14.25" hidden="false" customHeight="true" outlineLevel="0" collapsed="false">
      <c r="B42" s="46" t="s">
        <v>60</v>
      </c>
      <c r="C42" s="47" t="n">
        <v>139</v>
      </c>
      <c r="D42" s="48" t="n">
        <v>1</v>
      </c>
      <c r="E42" s="48" t="n">
        <v>1</v>
      </c>
      <c r="F42" s="47" t="n">
        <v>720</v>
      </c>
      <c r="G42" s="49" t="n">
        <v>1750</v>
      </c>
      <c r="H42" s="49" t="n">
        <v>1895</v>
      </c>
      <c r="I42" s="50" t="s">
        <v>59</v>
      </c>
      <c r="J42" s="51" t="n">
        <v>45658</v>
      </c>
      <c r="K42" s="51" t="n">
        <v>46752</v>
      </c>
      <c r="L42" s="52" t="n">
        <f aca="false">IF(UPPER(I42)="VACANT",0,G42*12)</f>
        <v>21000</v>
      </c>
      <c r="M42" s="52" t="n">
        <f aca="false">IF(UPPER(I42)="VACANT",0,H42*12)</f>
        <v>22740</v>
      </c>
      <c r="N42" s="53" t="n">
        <f aca="false">IF(G42&gt;0,(H42-G42)/G42,"")</f>
        <v>0.0828571428571429</v>
      </c>
    </row>
    <row r="43" customFormat="false" ht="14.25" hidden="false" customHeight="true" outlineLevel="0" collapsed="false">
      <c r="B43" s="46" t="s">
        <v>60</v>
      </c>
      <c r="C43" s="47" t="n">
        <v>140</v>
      </c>
      <c r="D43" s="48" t="n">
        <v>1</v>
      </c>
      <c r="E43" s="48" t="n">
        <v>1</v>
      </c>
      <c r="F43" s="47" t="n">
        <v>720</v>
      </c>
      <c r="G43" s="49" t="n">
        <v>1750</v>
      </c>
      <c r="H43" s="49" t="n">
        <v>1895</v>
      </c>
      <c r="I43" s="50" t="s">
        <v>59</v>
      </c>
      <c r="J43" s="51" t="n">
        <v>45658</v>
      </c>
      <c r="K43" s="51" t="n">
        <v>46752</v>
      </c>
      <c r="L43" s="52" t="n">
        <f aca="false">IF(UPPER(I43)="VACANT",0,G43*12)</f>
        <v>21000</v>
      </c>
      <c r="M43" s="52" t="n">
        <f aca="false">IF(UPPER(I43)="VACANT",0,H43*12)</f>
        <v>22740</v>
      </c>
      <c r="N43" s="53" t="n">
        <f aca="false">IF(G43&gt;0,(H43-G43)/G43,"")</f>
        <v>0.0828571428571429</v>
      </c>
    </row>
    <row r="44" customFormat="false" ht="14.25" hidden="false" customHeight="true" outlineLevel="0" collapsed="false">
      <c r="B44" s="46" t="s">
        <v>60</v>
      </c>
      <c r="C44" s="47" t="n">
        <v>141</v>
      </c>
      <c r="D44" s="48" t="n">
        <v>1</v>
      </c>
      <c r="E44" s="48" t="n">
        <v>1</v>
      </c>
      <c r="F44" s="47" t="n">
        <v>720</v>
      </c>
      <c r="G44" s="49" t="n">
        <v>1750</v>
      </c>
      <c r="H44" s="49" t="n">
        <v>1895</v>
      </c>
      <c r="I44" s="50" t="s">
        <v>59</v>
      </c>
      <c r="J44" s="51" t="n">
        <v>45658</v>
      </c>
      <c r="K44" s="51" t="n">
        <v>46752</v>
      </c>
      <c r="L44" s="52" t="n">
        <f aca="false">IF(UPPER(I44)="VACANT",0,G44*12)</f>
        <v>21000</v>
      </c>
      <c r="M44" s="52" t="n">
        <f aca="false">IF(UPPER(I44)="VACANT",0,H44*12)</f>
        <v>22740</v>
      </c>
      <c r="N44" s="53" t="n">
        <f aca="false">IF(G44&gt;0,(H44-G44)/G44,"")</f>
        <v>0.0828571428571429</v>
      </c>
    </row>
    <row r="45" customFormat="false" ht="14.25" hidden="false" customHeight="true" outlineLevel="0" collapsed="false">
      <c r="B45" s="46" t="s">
        <v>60</v>
      </c>
      <c r="C45" s="47" t="n">
        <v>142</v>
      </c>
      <c r="D45" s="48" t="n">
        <v>1</v>
      </c>
      <c r="E45" s="48" t="n">
        <v>1</v>
      </c>
      <c r="F45" s="47" t="n">
        <v>720</v>
      </c>
      <c r="G45" s="49" t="n">
        <v>1750</v>
      </c>
      <c r="H45" s="49" t="n">
        <v>1895</v>
      </c>
      <c r="I45" s="50" t="s">
        <v>59</v>
      </c>
      <c r="J45" s="51" t="n">
        <v>45658</v>
      </c>
      <c r="K45" s="51" t="n">
        <v>46752</v>
      </c>
      <c r="L45" s="52" t="n">
        <f aca="false">IF(UPPER(I45)="VACANT",0,G45*12)</f>
        <v>21000</v>
      </c>
      <c r="M45" s="52" t="n">
        <f aca="false">IF(UPPER(I45)="VACANT",0,H45*12)</f>
        <v>22740</v>
      </c>
      <c r="N45" s="53" t="n">
        <f aca="false">IF(G45&gt;0,(H45-G45)/G45,"")</f>
        <v>0.0828571428571429</v>
      </c>
    </row>
    <row r="46" customFormat="false" ht="14.25" hidden="false" customHeight="true" outlineLevel="0" collapsed="false">
      <c r="B46" s="46" t="s">
        <v>60</v>
      </c>
      <c r="C46" s="47" t="n">
        <v>143</v>
      </c>
      <c r="D46" s="48" t="n">
        <v>1</v>
      </c>
      <c r="E46" s="48" t="n">
        <v>1</v>
      </c>
      <c r="F46" s="47" t="n">
        <v>720</v>
      </c>
      <c r="G46" s="49" t="n">
        <v>1750</v>
      </c>
      <c r="H46" s="49" t="n">
        <v>1895</v>
      </c>
      <c r="I46" s="50" t="s">
        <v>59</v>
      </c>
      <c r="J46" s="51" t="n">
        <v>45658</v>
      </c>
      <c r="K46" s="51" t="n">
        <v>46752</v>
      </c>
      <c r="L46" s="52" t="n">
        <f aca="false">IF(UPPER(I46)="VACANT",0,G46*12)</f>
        <v>21000</v>
      </c>
      <c r="M46" s="52" t="n">
        <f aca="false">IF(UPPER(I46)="VACANT",0,H46*12)</f>
        <v>22740</v>
      </c>
      <c r="N46" s="53" t="n">
        <f aca="false">IF(G46&gt;0,(H46-G46)/G46,"")</f>
        <v>0.0828571428571429</v>
      </c>
    </row>
    <row r="47" customFormat="false" ht="14.25" hidden="false" customHeight="true" outlineLevel="0" collapsed="false">
      <c r="B47" s="46" t="s">
        <v>61</v>
      </c>
      <c r="C47" s="47" t="n">
        <v>144</v>
      </c>
      <c r="D47" s="48" t="n">
        <v>2</v>
      </c>
      <c r="E47" s="48" t="n">
        <v>2</v>
      </c>
      <c r="F47" s="47" t="n">
        <v>1080</v>
      </c>
      <c r="G47" s="49" t="n">
        <v>2350</v>
      </c>
      <c r="H47" s="49" t="n">
        <v>2495</v>
      </c>
      <c r="I47" s="50" t="s">
        <v>59</v>
      </c>
      <c r="J47" s="51" t="n">
        <v>45658</v>
      </c>
      <c r="K47" s="51" t="n">
        <v>46752</v>
      </c>
      <c r="L47" s="52" t="n">
        <f aca="false">IF(UPPER(I47)="VACANT",0,G47*12)</f>
        <v>28200</v>
      </c>
      <c r="M47" s="52" t="n">
        <f aca="false">IF(UPPER(I47)="VACANT",0,H47*12)</f>
        <v>29940</v>
      </c>
      <c r="N47" s="53" t="n">
        <f aca="false">IF(G47&gt;0,(H47-G47)/G47,"")</f>
        <v>0.0617021276595745</v>
      </c>
    </row>
    <row r="48" customFormat="false" ht="14.25" hidden="false" customHeight="true" outlineLevel="0" collapsed="false">
      <c r="B48" s="46" t="s">
        <v>61</v>
      </c>
      <c r="C48" s="47" t="n">
        <v>145</v>
      </c>
      <c r="D48" s="48" t="n">
        <v>2</v>
      </c>
      <c r="E48" s="48" t="n">
        <v>2</v>
      </c>
      <c r="F48" s="47" t="n">
        <v>1080</v>
      </c>
      <c r="G48" s="49" t="n">
        <v>2350</v>
      </c>
      <c r="H48" s="49" t="n">
        <v>2495</v>
      </c>
      <c r="I48" s="50" t="s">
        <v>59</v>
      </c>
      <c r="J48" s="51" t="n">
        <v>45658</v>
      </c>
      <c r="K48" s="51" t="n">
        <v>46752</v>
      </c>
      <c r="L48" s="52" t="n">
        <f aca="false">IF(UPPER(I48)="VACANT",0,G48*12)</f>
        <v>28200</v>
      </c>
      <c r="M48" s="52" t="n">
        <f aca="false">IF(UPPER(I48)="VACANT",0,H48*12)</f>
        <v>29940</v>
      </c>
      <c r="N48" s="53" t="n">
        <f aca="false">IF(G48&gt;0,(H48-G48)/G48,"")</f>
        <v>0.0617021276595745</v>
      </c>
    </row>
    <row r="49" customFormat="false" ht="14.25" hidden="false" customHeight="true" outlineLevel="0" collapsed="false">
      <c r="B49" s="46" t="s">
        <v>61</v>
      </c>
      <c r="C49" s="47" t="n">
        <v>146</v>
      </c>
      <c r="D49" s="48" t="n">
        <v>2</v>
      </c>
      <c r="E49" s="48" t="n">
        <v>2</v>
      </c>
      <c r="F49" s="47" t="n">
        <v>1080</v>
      </c>
      <c r="G49" s="49" t="n">
        <v>2350</v>
      </c>
      <c r="H49" s="49" t="n">
        <v>2495</v>
      </c>
      <c r="I49" s="50" t="s">
        <v>59</v>
      </c>
      <c r="J49" s="51" t="n">
        <v>45658</v>
      </c>
      <c r="K49" s="51" t="n">
        <v>46752</v>
      </c>
      <c r="L49" s="52" t="n">
        <f aca="false">IF(UPPER(I49)="VACANT",0,G49*12)</f>
        <v>28200</v>
      </c>
      <c r="M49" s="52" t="n">
        <f aca="false">IF(UPPER(I49)="VACANT",0,H49*12)</f>
        <v>29940</v>
      </c>
      <c r="N49" s="53" t="n">
        <f aca="false">IF(G49&gt;0,(H49-G49)/G49,"")</f>
        <v>0.0617021276595745</v>
      </c>
    </row>
    <row r="50" customFormat="false" ht="14.25" hidden="false" customHeight="true" outlineLevel="0" collapsed="false">
      <c r="B50" s="46" t="s">
        <v>61</v>
      </c>
      <c r="C50" s="47" t="n">
        <v>147</v>
      </c>
      <c r="D50" s="48" t="n">
        <v>2</v>
      </c>
      <c r="E50" s="48" t="n">
        <v>2</v>
      </c>
      <c r="F50" s="47" t="n">
        <v>1080</v>
      </c>
      <c r="G50" s="49" t="n">
        <v>2350</v>
      </c>
      <c r="H50" s="49" t="n">
        <v>2495</v>
      </c>
      <c r="I50" s="50" t="s">
        <v>59</v>
      </c>
      <c r="J50" s="51" t="n">
        <v>45658</v>
      </c>
      <c r="K50" s="51" t="n">
        <v>46752</v>
      </c>
      <c r="L50" s="52" t="n">
        <f aca="false">IF(UPPER(I50)="VACANT",0,G50*12)</f>
        <v>28200</v>
      </c>
      <c r="M50" s="52" t="n">
        <f aca="false">IF(UPPER(I50)="VACANT",0,H50*12)</f>
        <v>29940</v>
      </c>
      <c r="N50" s="53" t="n">
        <f aca="false">IF(G50&gt;0,(H50-G50)/G50,"")</f>
        <v>0.0617021276595745</v>
      </c>
    </row>
    <row r="51" customFormat="false" ht="14.25" hidden="false" customHeight="true" outlineLevel="0" collapsed="false">
      <c r="B51" s="46" t="s">
        <v>61</v>
      </c>
      <c r="C51" s="47" t="n">
        <v>148</v>
      </c>
      <c r="D51" s="48" t="n">
        <v>2</v>
      </c>
      <c r="E51" s="48" t="n">
        <v>2</v>
      </c>
      <c r="F51" s="47" t="n">
        <v>1080</v>
      </c>
      <c r="G51" s="49" t="n">
        <v>2350</v>
      </c>
      <c r="H51" s="49" t="n">
        <v>2495</v>
      </c>
      <c r="I51" s="50" t="s">
        <v>59</v>
      </c>
      <c r="J51" s="51" t="n">
        <v>45658</v>
      </c>
      <c r="K51" s="51" t="n">
        <v>46752</v>
      </c>
      <c r="L51" s="52" t="n">
        <f aca="false">IF(UPPER(I51)="VACANT",0,G51*12)</f>
        <v>28200</v>
      </c>
      <c r="M51" s="52" t="n">
        <f aca="false">IF(UPPER(I51)="VACANT",0,H51*12)</f>
        <v>29940</v>
      </c>
      <c r="N51" s="53" t="n">
        <f aca="false">IF(G51&gt;0,(H51-G51)/G51,"")</f>
        <v>0.0617021276595745</v>
      </c>
    </row>
    <row r="52" customFormat="false" ht="14.25" hidden="false" customHeight="true" outlineLevel="0" collapsed="false">
      <c r="B52" s="46" t="s">
        <v>61</v>
      </c>
      <c r="C52" s="47" t="n">
        <v>149</v>
      </c>
      <c r="D52" s="48" t="n">
        <v>2</v>
      </c>
      <c r="E52" s="48" t="n">
        <v>2</v>
      </c>
      <c r="F52" s="47" t="n">
        <v>1080</v>
      </c>
      <c r="G52" s="49" t="n">
        <v>2350</v>
      </c>
      <c r="H52" s="49" t="n">
        <v>2495</v>
      </c>
      <c r="I52" s="50" t="s">
        <v>59</v>
      </c>
      <c r="J52" s="51" t="n">
        <v>45658</v>
      </c>
      <c r="K52" s="51" t="n">
        <v>46752</v>
      </c>
      <c r="L52" s="52" t="n">
        <f aca="false">IF(UPPER(I52)="VACANT",0,G52*12)</f>
        <v>28200</v>
      </c>
      <c r="M52" s="52" t="n">
        <f aca="false">IF(UPPER(I52)="VACANT",0,H52*12)</f>
        <v>29940</v>
      </c>
      <c r="N52" s="53" t="n">
        <f aca="false">IF(G52&gt;0,(H52-G52)/G52,"")</f>
        <v>0.0617021276595745</v>
      </c>
    </row>
    <row r="53" customFormat="false" ht="14.25" hidden="false" customHeight="true" outlineLevel="0" collapsed="false">
      <c r="B53" s="46" t="s">
        <v>61</v>
      </c>
      <c r="C53" s="47" t="n">
        <v>150</v>
      </c>
      <c r="D53" s="48" t="n">
        <v>2</v>
      </c>
      <c r="E53" s="48" t="n">
        <v>2</v>
      </c>
      <c r="F53" s="47" t="n">
        <v>1080</v>
      </c>
      <c r="G53" s="49" t="n">
        <v>2350</v>
      </c>
      <c r="H53" s="49" t="n">
        <v>2495</v>
      </c>
      <c r="I53" s="50" t="s">
        <v>59</v>
      </c>
      <c r="J53" s="51" t="n">
        <v>45658</v>
      </c>
      <c r="K53" s="51" t="n">
        <v>46752</v>
      </c>
      <c r="L53" s="52" t="n">
        <f aca="false">IF(UPPER(I53)="VACANT",0,G53*12)</f>
        <v>28200</v>
      </c>
      <c r="M53" s="52" t="n">
        <f aca="false">IF(UPPER(I53)="VACANT",0,H53*12)</f>
        <v>29940</v>
      </c>
      <c r="N53" s="53" t="n">
        <f aca="false">IF(G53&gt;0,(H53-G53)/G53,"")</f>
        <v>0.0617021276595745</v>
      </c>
    </row>
    <row r="54" customFormat="false" ht="14.25" hidden="false" customHeight="true" outlineLevel="0" collapsed="false">
      <c r="B54" s="46" t="s">
        <v>61</v>
      </c>
      <c r="C54" s="47" t="n">
        <v>151</v>
      </c>
      <c r="D54" s="48" t="n">
        <v>2</v>
      </c>
      <c r="E54" s="48" t="n">
        <v>2</v>
      </c>
      <c r="F54" s="47" t="n">
        <v>1080</v>
      </c>
      <c r="G54" s="49" t="n">
        <v>2350</v>
      </c>
      <c r="H54" s="49" t="n">
        <v>2495</v>
      </c>
      <c r="I54" s="50" t="s">
        <v>59</v>
      </c>
      <c r="J54" s="51" t="n">
        <v>45658</v>
      </c>
      <c r="K54" s="51" t="n">
        <v>46752</v>
      </c>
      <c r="L54" s="52" t="n">
        <f aca="false">IF(UPPER(I54)="VACANT",0,G54*12)</f>
        <v>28200</v>
      </c>
      <c r="M54" s="52" t="n">
        <f aca="false">IF(UPPER(I54)="VACANT",0,H54*12)</f>
        <v>29940</v>
      </c>
      <c r="N54" s="53" t="n">
        <f aca="false">IF(G54&gt;0,(H54-G54)/G54,"")</f>
        <v>0.0617021276595745</v>
      </c>
    </row>
    <row r="55" customFormat="false" ht="14.25" hidden="false" customHeight="true" outlineLevel="0" collapsed="false">
      <c r="B55" s="46" t="s">
        <v>61</v>
      </c>
      <c r="C55" s="47" t="n">
        <v>152</v>
      </c>
      <c r="D55" s="48" t="n">
        <v>2</v>
      </c>
      <c r="E55" s="48" t="n">
        <v>2</v>
      </c>
      <c r="F55" s="47" t="n">
        <v>1080</v>
      </c>
      <c r="G55" s="49" t="n">
        <v>2350</v>
      </c>
      <c r="H55" s="49" t="n">
        <v>2495</v>
      </c>
      <c r="I55" s="50" t="s">
        <v>59</v>
      </c>
      <c r="J55" s="51" t="n">
        <v>45658</v>
      </c>
      <c r="K55" s="51" t="n">
        <v>46752</v>
      </c>
      <c r="L55" s="52" t="n">
        <f aca="false">IF(UPPER(I55)="VACANT",0,G55*12)</f>
        <v>28200</v>
      </c>
      <c r="M55" s="52" t="n">
        <f aca="false">IF(UPPER(I55)="VACANT",0,H55*12)</f>
        <v>29940</v>
      </c>
      <c r="N55" s="53" t="n">
        <f aca="false">IF(G55&gt;0,(H55-G55)/G55,"")</f>
        <v>0.0617021276595745</v>
      </c>
    </row>
    <row r="56" customFormat="false" ht="14.25" hidden="false" customHeight="true" outlineLevel="0" collapsed="false">
      <c r="B56" s="46" t="s">
        <v>61</v>
      </c>
      <c r="C56" s="47" t="n">
        <v>153</v>
      </c>
      <c r="D56" s="48" t="n">
        <v>2</v>
      </c>
      <c r="E56" s="48" t="n">
        <v>2</v>
      </c>
      <c r="F56" s="47" t="n">
        <v>1080</v>
      </c>
      <c r="G56" s="49" t="n">
        <v>2350</v>
      </c>
      <c r="H56" s="49" t="n">
        <v>2495</v>
      </c>
      <c r="I56" s="50" t="s">
        <v>59</v>
      </c>
      <c r="J56" s="51" t="n">
        <v>45658</v>
      </c>
      <c r="K56" s="51" t="n">
        <v>46752</v>
      </c>
      <c r="L56" s="52" t="n">
        <f aca="false">IF(UPPER(I56)="VACANT",0,G56*12)</f>
        <v>28200</v>
      </c>
      <c r="M56" s="52" t="n">
        <f aca="false">IF(UPPER(I56)="VACANT",0,H56*12)</f>
        <v>29940</v>
      </c>
      <c r="N56" s="53" t="n">
        <f aca="false">IF(G56&gt;0,(H56-G56)/G56,"")</f>
        <v>0.0617021276595745</v>
      </c>
    </row>
    <row r="57" customFormat="false" ht="14.25" hidden="false" customHeight="true" outlineLevel="0" collapsed="false">
      <c r="B57" s="46" t="s">
        <v>61</v>
      </c>
      <c r="C57" s="47" t="n">
        <v>154</v>
      </c>
      <c r="D57" s="48" t="n">
        <v>2</v>
      </c>
      <c r="E57" s="48" t="n">
        <v>2</v>
      </c>
      <c r="F57" s="47" t="n">
        <v>1080</v>
      </c>
      <c r="G57" s="49" t="n">
        <v>2350</v>
      </c>
      <c r="H57" s="49" t="n">
        <v>2495</v>
      </c>
      <c r="I57" s="50" t="s">
        <v>59</v>
      </c>
      <c r="J57" s="51" t="n">
        <v>45658</v>
      </c>
      <c r="K57" s="51" t="n">
        <v>46752</v>
      </c>
      <c r="L57" s="52" t="n">
        <f aca="false">IF(UPPER(I57)="VACANT",0,G57*12)</f>
        <v>28200</v>
      </c>
      <c r="M57" s="52" t="n">
        <f aca="false">IF(UPPER(I57)="VACANT",0,H57*12)</f>
        <v>29940</v>
      </c>
      <c r="N57" s="53" t="n">
        <f aca="false">IF(G57&gt;0,(H57-G57)/G57,"")</f>
        <v>0.0617021276595745</v>
      </c>
    </row>
    <row r="58" customFormat="false" ht="14.25" hidden="false" customHeight="true" outlineLevel="0" collapsed="false">
      <c r="B58" s="46" t="s">
        <v>61</v>
      </c>
      <c r="C58" s="47" t="n">
        <v>155</v>
      </c>
      <c r="D58" s="48" t="n">
        <v>2</v>
      </c>
      <c r="E58" s="48" t="n">
        <v>2</v>
      </c>
      <c r="F58" s="47" t="n">
        <v>1080</v>
      </c>
      <c r="G58" s="49" t="n">
        <v>2350</v>
      </c>
      <c r="H58" s="49" t="n">
        <v>2495</v>
      </c>
      <c r="I58" s="50" t="s">
        <v>59</v>
      </c>
      <c r="J58" s="51" t="n">
        <v>45658</v>
      </c>
      <c r="K58" s="51" t="n">
        <v>46752</v>
      </c>
      <c r="L58" s="52" t="n">
        <f aca="false">IF(UPPER(I58)="VACANT",0,G58*12)</f>
        <v>28200</v>
      </c>
      <c r="M58" s="52" t="n">
        <f aca="false">IF(UPPER(I58)="VACANT",0,H58*12)</f>
        <v>29940</v>
      </c>
      <c r="N58" s="53" t="n">
        <f aca="false">IF(G58&gt;0,(H58-G58)/G58,"")</f>
        <v>0.0617021276595745</v>
      </c>
    </row>
    <row r="59" customFormat="false" ht="14.25" hidden="false" customHeight="true" outlineLevel="0" collapsed="false">
      <c r="B59" s="46" t="s">
        <v>61</v>
      </c>
      <c r="C59" s="47" t="n">
        <v>156</v>
      </c>
      <c r="D59" s="48" t="n">
        <v>2</v>
      </c>
      <c r="E59" s="48" t="n">
        <v>2</v>
      </c>
      <c r="F59" s="47" t="n">
        <v>1080</v>
      </c>
      <c r="G59" s="49" t="n">
        <v>2350</v>
      </c>
      <c r="H59" s="49" t="n">
        <v>2495</v>
      </c>
      <c r="I59" s="50" t="s">
        <v>59</v>
      </c>
      <c r="J59" s="51" t="n">
        <v>45658</v>
      </c>
      <c r="K59" s="51" t="n">
        <v>46752</v>
      </c>
      <c r="L59" s="52" t="n">
        <f aca="false">IF(UPPER(I59)="VACANT",0,G59*12)</f>
        <v>28200</v>
      </c>
      <c r="M59" s="52" t="n">
        <f aca="false">IF(UPPER(I59)="VACANT",0,H59*12)</f>
        <v>29940</v>
      </c>
      <c r="N59" s="53" t="n">
        <f aca="false">IF(G59&gt;0,(H59-G59)/G59,"")</f>
        <v>0.0617021276595745</v>
      </c>
    </row>
    <row r="60" customFormat="false" ht="14.25" hidden="false" customHeight="true" outlineLevel="0" collapsed="false">
      <c r="B60" s="46" t="s">
        <v>61</v>
      </c>
      <c r="C60" s="47" t="n">
        <v>157</v>
      </c>
      <c r="D60" s="48" t="n">
        <v>2</v>
      </c>
      <c r="E60" s="48" t="n">
        <v>2</v>
      </c>
      <c r="F60" s="47" t="n">
        <v>1080</v>
      </c>
      <c r="G60" s="49" t="n">
        <v>2350</v>
      </c>
      <c r="H60" s="49" t="n">
        <v>2495</v>
      </c>
      <c r="I60" s="50" t="s">
        <v>59</v>
      </c>
      <c r="J60" s="51" t="n">
        <v>45658</v>
      </c>
      <c r="K60" s="51" t="n">
        <v>46752</v>
      </c>
      <c r="L60" s="52" t="n">
        <f aca="false">IF(UPPER(I60)="VACANT",0,G60*12)</f>
        <v>28200</v>
      </c>
      <c r="M60" s="52" t="n">
        <f aca="false">IF(UPPER(I60)="VACANT",0,H60*12)</f>
        <v>29940</v>
      </c>
      <c r="N60" s="53" t="n">
        <f aca="false">IF(G60&gt;0,(H60-G60)/G60,"")</f>
        <v>0.0617021276595745</v>
      </c>
    </row>
    <row r="61" customFormat="false" ht="14.25" hidden="false" customHeight="true" outlineLevel="0" collapsed="false">
      <c r="B61" s="46" t="s">
        <v>61</v>
      </c>
      <c r="C61" s="47" t="n">
        <v>158</v>
      </c>
      <c r="D61" s="48" t="n">
        <v>2</v>
      </c>
      <c r="E61" s="48" t="n">
        <v>2</v>
      </c>
      <c r="F61" s="47" t="n">
        <v>1080</v>
      </c>
      <c r="G61" s="49" t="n">
        <v>2350</v>
      </c>
      <c r="H61" s="49" t="n">
        <v>2495</v>
      </c>
      <c r="I61" s="50" t="s">
        <v>59</v>
      </c>
      <c r="J61" s="51" t="n">
        <v>45658</v>
      </c>
      <c r="K61" s="51" t="n">
        <v>46752</v>
      </c>
      <c r="L61" s="52" t="n">
        <f aca="false">IF(UPPER(I61)="VACANT",0,G61*12)</f>
        <v>28200</v>
      </c>
      <c r="M61" s="52" t="n">
        <f aca="false">IF(UPPER(I61)="VACANT",0,H61*12)</f>
        <v>29940</v>
      </c>
      <c r="N61" s="53" t="n">
        <f aca="false">IF(G61&gt;0,(H61-G61)/G61,"")</f>
        <v>0.0617021276595745</v>
      </c>
    </row>
    <row r="62" customFormat="false" ht="14.25" hidden="false" customHeight="true" outlineLevel="0" collapsed="false">
      <c r="B62" s="46" t="s">
        <v>61</v>
      </c>
      <c r="C62" s="47" t="n">
        <v>159</v>
      </c>
      <c r="D62" s="48" t="n">
        <v>2</v>
      </c>
      <c r="E62" s="48" t="n">
        <v>2</v>
      </c>
      <c r="F62" s="47" t="n">
        <v>1080</v>
      </c>
      <c r="G62" s="49" t="n">
        <v>2350</v>
      </c>
      <c r="H62" s="49" t="n">
        <v>2495</v>
      </c>
      <c r="I62" s="50" t="s">
        <v>59</v>
      </c>
      <c r="J62" s="51" t="n">
        <v>45658</v>
      </c>
      <c r="K62" s="51" t="n">
        <v>46752</v>
      </c>
      <c r="L62" s="52" t="n">
        <f aca="false">IF(UPPER(I62)="VACANT",0,G62*12)</f>
        <v>28200</v>
      </c>
      <c r="M62" s="52" t="n">
        <f aca="false">IF(UPPER(I62)="VACANT",0,H62*12)</f>
        <v>29940</v>
      </c>
      <c r="N62" s="53" t="n">
        <f aca="false">IF(G62&gt;0,(H62-G62)/G62,"")</f>
        <v>0.0617021276595745</v>
      </c>
    </row>
    <row r="63" customFormat="false" ht="14.25" hidden="false" customHeight="true" outlineLevel="0" collapsed="false">
      <c r="B63" s="46" t="s">
        <v>61</v>
      </c>
      <c r="C63" s="47" t="n">
        <v>160</v>
      </c>
      <c r="D63" s="48" t="n">
        <v>2</v>
      </c>
      <c r="E63" s="48" t="n">
        <v>2</v>
      </c>
      <c r="F63" s="47" t="n">
        <v>1080</v>
      </c>
      <c r="G63" s="49" t="n">
        <v>2350</v>
      </c>
      <c r="H63" s="49" t="n">
        <v>2495</v>
      </c>
      <c r="I63" s="50" t="s">
        <v>59</v>
      </c>
      <c r="J63" s="51" t="n">
        <v>45658</v>
      </c>
      <c r="K63" s="51" t="n">
        <v>46752</v>
      </c>
      <c r="L63" s="52" t="n">
        <f aca="false">IF(UPPER(I63)="VACANT",0,G63*12)</f>
        <v>28200</v>
      </c>
      <c r="M63" s="52" t="n">
        <f aca="false">IF(UPPER(I63)="VACANT",0,H63*12)</f>
        <v>29940</v>
      </c>
      <c r="N63" s="53" t="n">
        <f aca="false">IF(G63&gt;0,(H63-G63)/G63,"")</f>
        <v>0.0617021276595745</v>
      </c>
    </row>
    <row r="64" customFormat="false" ht="14.25" hidden="false" customHeight="true" outlineLevel="0" collapsed="false">
      <c r="B64" s="46" t="s">
        <v>61</v>
      </c>
      <c r="C64" s="47" t="n">
        <v>161</v>
      </c>
      <c r="D64" s="48" t="n">
        <v>2</v>
      </c>
      <c r="E64" s="48" t="n">
        <v>2</v>
      </c>
      <c r="F64" s="47" t="n">
        <v>1080</v>
      </c>
      <c r="G64" s="49" t="n">
        <v>2350</v>
      </c>
      <c r="H64" s="49" t="n">
        <v>2495</v>
      </c>
      <c r="I64" s="50" t="s">
        <v>59</v>
      </c>
      <c r="J64" s="51" t="n">
        <v>45658</v>
      </c>
      <c r="K64" s="51" t="n">
        <v>46752</v>
      </c>
      <c r="L64" s="52" t="n">
        <f aca="false">IF(UPPER(I64)="VACANT",0,G64*12)</f>
        <v>28200</v>
      </c>
      <c r="M64" s="52" t="n">
        <f aca="false">IF(UPPER(I64)="VACANT",0,H64*12)</f>
        <v>29940</v>
      </c>
      <c r="N64" s="53" t="n">
        <f aca="false">IF(G64&gt;0,(H64-G64)/G64,"")</f>
        <v>0.0617021276595745</v>
      </c>
    </row>
    <row r="65" customFormat="false" ht="14.25" hidden="false" customHeight="true" outlineLevel="0" collapsed="false">
      <c r="B65" s="46" t="s">
        <v>61</v>
      </c>
      <c r="C65" s="47" t="n">
        <v>162</v>
      </c>
      <c r="D65" s="48" t="n">
        <v>2</v>
      </c>
      <c r="E65" s="48" t="n">
        <v>2</v>
      </c>
      <c r="F65" s="47" t="n">
        <v>1080</v>
      </c>
      <c r="G65" s="49" t="n">
        <v>2350</v>
      </c>
      <c r="H65" s="49" t="n">
        <v>2495</v>
      </c>
      <c r="I65" s="50" t="s">
        <v>59</v>
      </c>
      <c r="J65" s="51" t="n">
        <v>45658</v>
      </c>
      <c r="K65" s="51" t="n">
        <v>46752</v>
      </c>
      <c r="L65" s="52" t="n">
        <f aca="false">IF(UPPER(I65)="VACANT",0,G65*12)</f>
        <v>28200</v>
      </c>
      <c r="M65" s="52" t="n">
        <f aca="false">IF(UPPER(I65)="VACANT",0,H65*12)</f>
        <v>29940</v>
      </c>
      <c r="N65" s="53" t="n">
        <f aca="false">IF(G65&gt;0,(H65-G65)/G65,"")</f>
        <v>0.0617021276595745</v>
      </c>
    </row>
    <row r="66" customFormat="false" ht="14.25" hidden="false" customHeight="true" outlineLevel="0" collapsed="false">
      <c r="B66" s="46" t="s">
        <v>61</v>
      </c>
      <c r="C66" s="47" t="n">
        <v>163</v>
      </c>
      <c r="D66" s="48" t="n">
        <v>2</v>
      </c>
      <c r="E66" s="48" t="n">
        <v>2</v>
      </c>
      <c r="F66" s="47" t="n">
        <v>1080</v>
      </c>
      <c r="G66" s="49" t="n">
        <v>2350</v>
      </c>
      <c r="H66" s="49" t="n">
        <v>2495</v>
      </c>
      <c r="I66" s="50" t="s">
        <v>59</v>
      </c>
      <c r="J66" s="51" t="n">
        <v>45658</v>
      </c>
      <c r="K66" s="51" t="n">
        <v>46752</v>
      </c>
      <c r="L66" s="52" t="n">
        <f aca="false">IF(UPPER(I66)="VACANT",0,G66*12)</f>
        <v>28200</v>
      </c>
      <c r="M66" s="52" t="n">
        <f aca="false">IF(UPPER(I66)="VACANT",0,H66*12)</f>
        <v>29940</v>
      </c>
      <c r="N66" s="53" t="n">
        <f aca="false">IF(G66&gt;0,(H66-G66)/G66,"")</f>
        <v>0.0617021276595745</v>
      </c>
    </row>
    <row r="67" customFormat="false" ht="14.25" hidden="false" customHeight="true" outlineLevel="0" collapsed="false">
      <c r="B67" s="46" t="s">
        <v>62</v>
      </c>
      <c r="C67" s="47" t="n">
        <v>164</v>
      </c>
      <c r="D67" s="48" t="n">
        <v>3</v>
      </c>
      <c r="E67" s="48" t="n">
        <v>2</v>
      </c>
      <c r="F67" s="47" t="n">
        <v>1280</v>
      </c>
      <c r="G67" s="49" t="n">
        <v>2750</v>
      </c>
      <c r="H67" s="49" t="n">
        <v>2950</v>
      </c>
      <c r="I67" s="50" t="s">
        <v>59</v>
      </c>
      <c r="J67" s="51" t="n">
        <v>45658</v>
      </c>
      <c r="K67" s="51" t="n">
        <v>46752</v>
      </c>
      <c r="L67" s="52" t="n">
        <f aca="false">IF(UPPER(I67)="VACANT",0,G67*12)</f>
        <v>33000</v>
      </c>
      <c r="M67" s="52" t="n">
        <f aca="false">IF(UPPER(I67)="VACANT",0,H67*12)</f>
        <v>35400</v>
      </c>
      <c r="N67" s="53" t="n">
        <f aca="false">IF(G67&gt;0,(H67-G67)/G67,"")</f>
        <v>0.0727272727272727</v>
      </c>
    </row>
    <row r="68" customFormat="false" ht="14.25" hidden="false" customHeight="true" outlineLevel="0" collapsed="false">
      <c r="B68" s="46" t="s">
        <v>62</v>
      </c>
      <c r="C68" s="47" t="n">
        <v>165</v>
      </c>
      <c r="D68" s="48" t="n">
        <v>3</v>
      </c>
      <c r="E68" s="48" t="n">
        <v>2</v>
      </c>
      <c r="F68" s="47" t="n">
        <v>1280</v>
      </c>
      <c r="G68" s="49" t="n">
        <v>2750</v>
      </c>
      <c r="H68" s="49" t="n">
        <v>2950</v>
      </c>
      <c r="I68" s="50" t="s">
        <v>59</v>
      </c>
      <c r="J68" s="51" t="n">
        <v>45658</v>
      </c>
      <c r="K68" s="51" t="n">
        <v>46752</v>
      </c>
      <c r="L68" s="52" t="n">
        <f aca="false">IF(UPPER(I68)="VACANT",0,G68*12)</f>
        <v>33000</v>
      </c>
      <c r="M68" s="52" t="n">
        <f aca="false">IF(UPPER(I68)="VACANT",0,H68*12)</f>
        <v>35400</v>
      </c>
      <c r="N68" s="53" t="n">
        <f aca="false">IF(G68&gt;0,(H68-G68)/G68,"")</f>
        <v>0.0727272727272727</v>
      </c>
    </row>
    <row r="69" customFormat="false" ht="14.25" hidden="false" customHeight="true" outlineLevel="0" collapsed="false">
      <c r="B69" s="46" t="s">
        <v>62</v>
      </c>
      <c r="C69" s="47" t="n">
        <v>166</v>
      </c>
      <c r="D69" s="48" t="n">
        <v>3</v>
      </c>
      <c r="E69" s="48" t="n">
        <v>2</v>
      </c>
      <c r="F69" s="47" t="n">
        <v>1280</v>
      </c>
      <c r="G69" s="49" t="n">
        <v>2750</v>
      </c>
      <c r="H69" s="49" t="n">
        <v>2950</v>
      </c>
      <c r="I69" s="50" t="s">
        <v>59</v>
      </c>
      <c r="J69" s="51" t="n">
        <v>45658</v>
      </c>
      <c r="K69" s="51" t="n">
        <v>46752</v>
      </c>
      <c r="L69" s="52" t="n">
        <f aca="false">IF(UPPER(I69)="VACANT",0,G69*12)</f>
        <v>33000</v>
      </c>
      <c r="M69" s="52" t="n">
        <f aca="false">IF(UPPER(I69)="VACANT",0,H69*12)</f>
        <v>35400</v>
      </c>
      <c r="N69" s="53" t="n">
        <f aca="false">IF(G69&gt;0,(H69-G69)/G69,"")</f>
        <v>0.0727272727272727</v>
      </c>
    </row>
    <row r="70" customFormat="false" ht="14.25" hidden="false" customHeight="true" outlineLevel="0" collapsed="false">
      <c r="B70" s="46" t="s">
        <v>62</v>
      </c>
      <c r="C70" s="47" t="n">
        <v>167</v>
      </c>
      <c r="D70" s="48" t="n">
        <v>3</v>
      </c>
      <c r="E70" s="48" t="n">
        <v>2</v>
      </c>
      <c r="F70" s="47" t="n">
        <v>1280</v>
      </c>
      <c r="G70" s="49" t="n">
        <v>2750</v>
      </c>
      <c r="H70" s="49" t="n">
        <v>2950</v>
      </c>
      <c r="I70" s="50" t="s">
        <v>59</v>
      </c>
      <c r="J70" s="51" t="n">
        <v>45658</v>
      </c>
      <c r="K70" s="51" t="n">
        <v>46752</v>
      </c>
      <c r="L70" s="52" t="n">
        <f aca="false">IF(UPPER(I70)="VACANT",0,G70*12)</f>
        <v>33000</v>
      </c>
      <c r="M70" s="52" t="n">
        <f aca="false">IF(UPPER(I70)="VACANT",0,H70*12)</f>
        <v>35400</v>
      </c>
      <c r="N70" s="53" t="n">
        <f aca="false">IF(G70&gt;0,(H70-G70)/G70,"")</f>
        <v>0.0727272727272727</v>
      </c>
    </row>
    <row r="71" customFormat="false" ht="14.25" hidden="false" customHeight="true" outlineLevel="0" collapsed="false">
      <c r="B71" s="46" t="s">
        <v>62</v>
      </c>
      <c r="C71" s="47" t="n">
        <v>168</v>
      </c>
      <c r="D71" s="48" t="n">
        <v>3</v>
      </c>
      <c r="E71" s="48" t="n">
        <v>2</v>
      </c>
      <c r="F71" s="47" t="n">
        <v>1280</v>
      </c>
      <c r="G71" s="49" t="n">
        <v>2750</v>
      </c>
      <c r="H71" s="49" t="n">
        <v>2950</v>
      </c>
      <c r="I71" s="50" t="s">
        <v>59</v>
      </c>
      <c r="J71" s="51" t="n">
        <v>45658</v>
      </c>
      <c r="K71" s="51" t="n">
        <v>46752</v>
      </c>
      <c r="L71" s="52" t="n">
        <f aca="false">IF(UPPER(I71)="VACANT",0,G71*12)</f>
        <v>33000</v>
      </c>
      <c r="M71" s="52" t="n">
        <f aca="false">IF(UPPER(I71)="VACANT",0,H71*12)</f>
        <v>35400</v>
      </c>
      <c r="N71" s="53" t="n">
        <f aca="false">IF(G71&gt;0,(H71-G71)/G71,"")</f>
        <v>0.0727272727272727</v>
      </c>
    </row>
    <row r="72" customFormat="false" ht="14.25" hidden="false" customHeight="true" outlineLevel="0" collapsed="false">
      <c r="B72" s="46" t="s">
        <v>62</v>
      </c>
      <c r="C72" s="47" t="n">
        <v>169</v>
      </c>
      <c r="D72" s="48" t="n">
        <v>3</v>
      </c>
      <c r="E72" s="48" t="n">
        <v>2</v>
      </c>
      <c r="F72" s="47" t="n">
        <v>1280</v>
      </c>
      <c r="G72" s="49" t="n">
        <v>2750</v>
      </c>
      <c r="H72" s="49" t="n">
        <v>2950</v>
      </c>
      <c r="I72" s="50" t="s">
        <v>59</v>
      </c>
      <c r="J72" s="51" t="n">
        <v>45658</v>
      </c>
      <c r="K72" s="51" t="n">
        <v>46752</v>
      </c>
      <c r="L72" s="52" t="n">
        <f aca="false">IF(UPPER(I72)="VACANT",0,G72*12)</f>
        <v>33000</v>
      </c>
      <c r="M72" s="52" t="n">
        <f aca="false">IF(UPPER(I72)="VACANT",0,H72*12)</f>
        <v>35400</v>
      </c>
      <c r="N72" s="53" t="n">
        <f aca="false">IF(G72&gt;0,(H72-G72)/G72,"")</f>
        <v>0.0727272727272727</v>
      </c>
    </row>
    <row r="73" customFormat="false" ht="14.25" hidden="false" customHeight="true" outlineLevel="0" collapsed="false">
      <c r="B73" s="46" t="s">
        <v>62</v>
      </c>
      <c r="C73" s="47" t="n">
        <v>170</v>
      </c>
      <c r="D73" s="48" t="n">
        <v>3</v>
      </c>
      <c r="E73" s="48" t="n">
        <v>2</v>
      </c>
      <c r="F73" s="47" t="n">
        <v>1280</v>
      </c>
      <c r="G73" s="49" t="n">
        <v>2750</v>
      </c>
      <c r="H73" s="49" t="n">
        <v>2950</v>
      </c>
      <c r="I73" s="50" t="s">
        <v>59</v>
      </c>
      <c r="J73" s="51" t="n">
        <v>45658</v>
      </c>
      <c r="K73" s="51" t="n">
        <v>46752</v>
      </c>
      <c r="L73" s="52" t="n">
        <f aca="false">IF(UPPER(I73)="VACANT",0,G73*12)</f>
        <v>33000</v>
      </c>
      <c r="M73" s="52" t="n">
        <f aca="false">IF(UPPER(I73)="VACANT",0,H73*12)</f>
        <v>35400</v>
      </c>
      <c r="N73" s="53" t="n">
        <f aca="false">IF(G73&gt;0,(H73-G73)/G73,"")</f>
        <v>0.0727272727272727</v>
      </c>
    </row>
    <row r="74" customFormat="false" ht="14.25" hidden="false" customHeight="true" outlineLevel="0" collapsed="false">
      <c r="B74" s="46" t="s">
        <v>62</v>
      </c>
      <c r="C74" s="47" t="n">
        <v>171</v>
      </c>
      <c r="D74" s="48" t="n">
        <v>3</v>
      </c>
      <c r="E74" s="48" t="n">
        <v>2</v>
      </c>
      <c r="F74" s="47" t="n">
        <v>1280</v>
      </c>
      <c r="G74" s="49" t="n">
        <v>2750</v>
      </c>
      <c r="H74" s="49" t="n">
        <v>2950</v>
      </c>
      <c r="I74" s="50" t="s">
        <v>59</v>
      </c>
      <c r="J74" s="51" t="n">
        <v>45658</v>
      </c>
      <c r="K74" s="51" t="n">
        <v>46752</v>
      </c>
      <c r="L74" s="52" t="n">
        <f aca="false">IF(UPPER(I74)="VACANT",0,G74*12)</f>
        <v>33000</v>
      </c>
      <c r="M74" s="52" t="n">
        <f aca="false">IF(UPPER(I74)="VACANT",0,H74*12)</f>
        <v>35400</v>
      </c>
      <c r="N74" s="53" t="n">
        <f aca="false">IF(G74&gt;0,(H74-G74)/G74,"")</f>
        <v>0.0727272727272727</v>
      </c>
    </row>
    <row r="75" customFormat="false" ht="14.25" hidden="false" customHeight="true" outlineLevel="0" collapsed="false">
      <c r="B75" s="46" t="s">
        <v>62</v>
      </c>
      <c r="C75" s="47" t="n">
        <v>172</v>
      </c>
      <c r="D75" s="48" t="n">
        <v>3</v>
      </c>
      <c r="E75" s="48" t="n">
        <v>2</v>
      </c>
      <c r="F75" s="47" t="n">
        <v>1280</v>
      </c>
      <c r="G75" s="49" t="n">
        <v>2750</v>
      </c>
      <c r="H75" s="49" t="n">
        <v>2950</v>
      </c>
      <c r="I75" s="50" t="s">
        <v>59</v>
      </c>
      <c r="J75" s="51" t="n">
        <v>45658</v>
      </c>
      <c r="K75" s="51" t="n">
        <v>46752</v>
      </c>
      <c r="L75" s="52" t="n">
        <f aca="false">IF(UPPER(I75)="VACANT",0,G75*12)</f>
        <v>33000</v>
      </c>
      <c r="M75" s="52" t="n">
        <f aca="false">IF(UPPER(I75)="VACANT",0,H75*12)</f>
        <v>35400</v>
      </c>
      <c r="N75" s="53" t="n">
        <f aca="false">IF(G75&gt;0,(H75-G75)/G75,"")</f>
        <v>0.0727272727272727</v>
      </c>
    </row>
    <row r="76" customFormat="false" ht="14.25" hidden="false" customHeight="true" outlineLevel="0" collapsed="false">
      <c r="B76" s="46" t="s">
        <v>62</v>
      </c>
      <c r="C76" s="47" t="n">
        <v>173</v>
      </c>
      <c r="D76" s="48" t="n">
        <v>3</v>
      </c>
      <c r="E76" s="48" t="n">
        <v>2</v>
      </c>
      <c r="F76" s="47" t="n">
        <v>1280</v>
      </c>
      <c r="G76" s="49" t="n">
        <v>2750</v>
      </c>
      <c r="H76" s="49" t="n">
        <v>2950</v>
      </c>
      <c r="I76" s="50" t="s">
        <v>59</v>
      </c>
      <c r="J76" s="51" t="n">
        <v>45658</v>
      </c>
      <c r="K76" s="51" t="n">
        <v>46752</v>
      </c>
      <c r="L76" s="52" t="n">
        <f aca="false">IF(UPPER(I76)="VACANT",0,G76*12)</f>
        <v>33000</v>
      </c>
      <c r="M76" s="52" t="n">
        <f aca="false">IF(UPPER(I76)="VACANT",0,H76*12)</f>
        <v>35400</v>
      </c>
      <c r="N76" s="53" t="n">
        <f aca="false">IF(G76&gt;0,(H76-G76)/G76,"")</f>
        <v>0.0727272727272727</v>
      </c>
    </row>
    <row r="77" customFormat="false" ht="14.25" hidden="false" customHeight="true" outlineLevel="0" collapsed="false">
      <c r="B77" s="46" t="s">
        <v>62</v>
      </c>
      <c r="C77" s="47" t="n">
        <v>174</v>
      </c>
      <c r="D77" s="48" t="n">
        <v>3</v>
      </c>
      <c r="E77" s="48" t="n">
        <v>2</v>
      </c>
      <c r="F77" s="47" t="n">
        <v>1280</v>
      </c>
      <c r="G77" s="49" t="n">
        <v>2750</v>
      </c>
      <c r="H77" s="49" t="n">
        <v>2950</v>
      </c>
      <c r="I77" s="50" t="s">
        <v>59</v>
      </c>
      <c r="J77" s="51" t="n">
        <v>45658</v>
      </c>
      <c r="K77" s="51" t="n">
        <v>46752</v>
      </c>
      <c r="L77" s="52" t="n">
        <f aca="false">IF(UPPER(I77)="VACANT",0,G77*12)</f>
        <v>33000</v>
      </c>
      <c r="M77" s="52" t="n">
        <f aca="false">IF(UPPER(I77)="VACANT",0,H77*12)</f>
        <v>35400</v>
      </c>
      <c r="N77" s="53" t="n">
        <f aca="false">IF(G77&gt;0,(H77-G77)/G77,"")</f>
        <v>0.0727272727272727</v>
      </c>
    </row>
    <row r="78" customFormat="false" ht="14.25" hidden="false" customHeight="true" outlineLevel="0" collapsed="false">
      <c r="B78" s="46" t="s">
        <v>62</v>
      </c>
      <c r="C78" s="47" t="n">
        <v>175</v>
      </c>
      <c r="D78" s="48" t="n">
        <v>3</v>
      </c>
      <c r="E78" s="48" t="n">
        <v>2</v>
      </c>
      <c r="F78" s="47" t="n">
        <v>1280</v>
      </c>
      <c r="G78" s="49" t="n">
        <v>2750</v>
      </c>
      <c r="H78" s="49" t="n">
        <v>2950</v>
      </c>
      <c r="I78" s="50" t="s">
        <v>59</v>
      </c>
      <c r="J78" s="51" t="n">
        <v>45658</v>
      </c>
      <c r="K78" s="51" t="n">
        <v>46752</v>
      </c>
      <c r="L78" s="52" t="n">
        <f aca="false">IF(UPPER(I78)="VACANT",0,G78*12)</f>
        <v>33000</v>
      </c>
      <c r="M78" s="52" t="n">
        <f aca="false">IF(UPPER(I78)="VACANT",0,H78*12)</f>
        <v>35400</v>
      </c>
      <c r="N78" s="53" t="n">
        <f aca="false">IF(G78&gt;0,(H78-G78)/G78,"")</f>
        <v>0.0727272727272727</v>
      </c>
    </row>
    <row r="79" customFormat="false" ht="14.25" hidden="false" customHeight="true" outlineLevel="0" collapsed="false">
      <c r="B79" s="46" t="s">
        <v>62</v>
      </c>
      <c r="C79" s="47" t="n">
        <v>176</v>
      </c>
      <c r="D79" s="48" t="n">
        <v>3</v>
      </c>
      <c r="E79" s="48" t="n">
        <v>2</v>
      </c>
      <c r="F79" s="47" t="n">
        <v>1280</v>
      </c>
      <c r="G79" s="49" t="n">
        <v>2750</v>
      </c>
      <c r="H79" s="49" t="n">
        <v>2950</v>
      </c>
      <c r="I79" s="50" t="s">
        <v>59</v>
      </c>
      <c r="J79" s="51" t="n">
        <v>45658</v>
      </c>
      <c r="K79" s="51" t="n">
        <v>46752</v>
      </c>
      <c r="L79" s="52" t="n">
        <f aca="false">IF(UPPER(I79)="VACANT",0,G79*12)</f>
        <v>33000</v>
      </c>
      <c r="M79" s="52" t="n">
        <f aca="false">IF(UPPER(I79)="VACANT",0,H79*12)</f>
        <v>35400</v>
      </c>
      <c r="N79" s="53" t="n">
        <f aca="false">IF(G79&gt;0,(H79-G79)/G79,"")</f>
        <v>0.0727272727272727</v>
      </c>
    </row>
    <row r="80" customFormat="false" ht="14.25" hidden="false" customHeight="true" outlineLevel="0" collapsed="false">
      <c r="B80" s="46" t="s">
        <v>62</v>
      </c>
      <c r="C80" s="47" t="n">
        <v>177</v>
      </c>
      <c r="D80" s="48" t="n">
        <v>3</v>
      </c>
      <c r="E80" s="48" t="n">
        <v>2</v>
      </c>
      <c r="F80" s="47" t="n">
        <v>1280</v>
      </c>
      <c r="G80" s="49" t="n">
        <v>2750</v>
      </c>
      <c r="H80" s="49" t="n">
        <v>2950</v>
      </c>
      <c r="I80" s="50" t="s">
        <v>59</v>
      </c>
      <c r="J80" s="51" t="n">
        <v>45658</v>
      </c>
      <c r="K80" s="51" t="n">
        <v>46752</v>
      </c>
      <c r="L80" s="52" t="n">
        <f aca="false">IF(UPPER(I80)="VACANT",0,G80*12)</f>
        <v>33000</v>
      </c>
      <c r="M80" s="52" t="n">
        <f aca="false">IF(UPPER(I80)="VACANT",0,H80*12)</f>
        <v>35400</v>
      </c>
      <c r="N80" s="53" t="n">
        <f aca="false">IF(G80&gt;0,(H80-G80)/G80,"")</f>
        <v>0.0727272727272727</v>
      </c>
    </row>
    <row r="81" customFormat="false" ht="14.25" hidden="false" customHeight="true" outlineLevel="0" collapsed="false">
      <c r="B81" s="46" t="s">
        <v>62</v>
      </c>
      <c r="C81" s="47" t="n">
        <v>178</v>
      </c>
      <c r="D81" s="48" t="n">
        <v>3</v>
      </c>
      <c r="E81" s="48" t="n">
        <v>2</v>
      </c>
      <c r="F81" s="47" t="n">
        <v>1280</v>
      </c>
      <c r="G81" s="49" t="n">
        <v>2750</v>
      </c>
      <c r="H81" s="49" t="n">
        <v>2950</v>
      </c>
      <c r="I81" s="50" t="s">
        <v>59</v>
      </c>
      <c r="J81" s="51" t="n">
        <v>45658</v>
      </c>
      <c r="K81" s="51" t="n">
        <v>46752</v>
      </c>
      <c r="L81" s="52" t="n">
        <f aca="false">IF(UPPER(I81)="VACANT",0,G81*12)</f>
        <v>33000</v>
      </c>
      <c r="M81" s="52" t="n">
        <f aca="false">IF(UPPER(I81)="VACANT",0,H81*12)</f>
        <v>35400</v>
      </c>
      <c r="N81" s="53" t="n">
        <f aca="false">IF(G81&gt;0,(H81-G81)/G81,"")</f>
        <v>0.0727272727272727</v>
      </c>
    </row>
    <row r="82" customFormat="false" ht="14.25" hidden="false" customHeight="true" outlineLevel="0" collapsed="false">
      <c r="B82" s="46" t="s">
        <v>62</v>
      </c>
      <c r="C82" s="47" t="n">
        <v>179</v>
      </c>
      <c r="D82" s="48" t="n">
        <v>3</v>
      </c>
      <c r="E82" s="48" t="n">
        <v>2</v>
      </c>
      <c r="F82" s="47" t="n">
        <v>1280</v>
      </c>
      <c r="G82" s="49" t="n">
        <v>2750</v>
      </c>
      <c r="H82" s="49" t="n">
        <v>2950</v>
      </c>
      <c r="I82" s="50" t="s">
        <v>59</v>
      </c>
      <c r="J82" s="51" t="n">
        <v>45658</v>
      </c>
      <c r="K82" s="51" t="n">
        <v>46752</v>
      </c>
      <c r="L82" s="52" t="n">
        <f aca="false">IF(UPPER(I82)="VACANT",0,G82*12)</f>
        <v>33000</v>
      </c>
      <c r="M82" s="52" t="n">
        <f aca="false">IF(UPPER(I82)="VACANT",0,H82*12)</f>
        <v>35400</v>
      </c>
      <c r="N82" s="53" t="n">
        <f aca="false">IF(G82&gt;0,(H82-G82)/G82,"")</f>
        <v>0.0727272727272727</v>
      </c>
    </row>
    <row r="83" customFormat="false" ht="14.25" hidden="false" customHeight="true" outlineLevel="0" collapsed="false">
      <c r="B83" s="46" t="s">
        <v>62</v>
      </c>
      <c r="C83" s="47" t="n">
        <v>180</v>
      </c>
      <c r="D83" s="48" t="n">
        <v>3</v>
      </c>
      <c r="E83" s="48" t="n">
        <v>2</v>
      </c>
      <c r="F83" s="47" t="n">
        <v>1280</v>
      </c>
      <c r="G83" s="49" t="n">
        <v>2750</v>
      </c>
      <c r="H83" s="49" t="n">
        <v>2950</v>
      </c>
      <c r="I83" s="50" t="s">
        <v>59</v>
      </c>
      <c r="J83" s="51" t="n">
        <v>45658</v>
      </c>
      <c r="K83" s="51" t="n">
        <v>46752</v>
      </c>
      <c r="L83" s="52" t="n">
        <f aca="false">IF(UPPER(I83)="VACANT",0,G83*12)</f>
        <v>33000</v>
      </c>
      <c r="M83" s="52" t="n">
        <f aca="false">IF(UPPER(I83)="VACANT",0,H83*12)</f>
        <v>35400</v>
      </c>
      <c r="N83" s="53" t="n">
        <f aca="false">IF(G83&gt;0,(H83-G83)/G83,"")</f>
        <v>0.0727272727272727</v>
      </c>
    </row>
    <row r="84" customFormat="false" ht="14.25" hidden="false" customHeight="true" outlineLevel="0" collapsed="false">
      <c r="B84" s="46" t="s">
        <v>62</v>
      </c>
      <c r="C84" s="47" t="n">
        <v>181</v>
      </c>
      <c r="D84" s="48" t="n">
        <v>3</v>
      </c>
      <c r="E84" s="48" t="n">
        <v>2</v>
      </c>
      <c r="F84" s="47" t="n">
        <v>1280</v>
      </c>
      <c r="G84" s="49" t="n">
        <v>2750</v>
      </c>
      <c r="H84" s="49" t="n">
        <v>2950</v>
      </c>
      <c r="I84" s="50" t="s">
        <v>59</v>
      </c>
      <c r="J84" s="51" t="n">
        <v>45658</v>
      </c>
      <c r="K84" s="51" t="n">
        <v>46752</v>
      </c>
      <c r="L84" s="52" t="n">
        <f aca="false">IF(UPPER(I84)="VACANT",0,G84*12)</f>
        <v>33000</v>
      </c>
      <c r="M84" s="52" t="n">
        <f aca="false">IF(UPPER(I84)="VACANT",0,H84*12)</f>
        <v>35400</v>
      </c>
      <c r="N84" s="53" t="n">
        <f aca="false">IF(G84&gt;0,(H84-G84)/G84,"")</f>
        <v>0.0727272727272727</v>
      </c>
    </row>
    <row r="85" customFormat="false" ht="14.25" hidden="false" customHeight="true" outlineLevel="0" collapsed="false">
      <c r="B85" s="46" t="s">
        <v>62</v>
      </c>
      <c r="C85" s="47" t="n">
        <v>182</v>
      </c>
      <c r="D85" s="48" t="n">
        <v>3</v>
      </c>
      <c r="E85" s="48" t="n">
        <v>2</v>
      </c>
      <c r="F85" s="47" t="n">
        <v>1280</v>
      </c>
      <c r="G85" s="49" t="n">
        <v>2750</v>
      </c>
      <c r="H85" s="49" t="n">
        <v>2950</v>
      </c>
      <c r="I85" s="50" t="s">
        <v>59</v>
      </c>
      <c r="J85" s="51" t="n">
        <v>45658</v>
      </c>
      <c r="K85" s="51" t="n">
        <v>46752</v>
      </c>
      <c r="L85" s="52" t="n">
        <f aca="false">IF(UPPER(I85)="VACANT",0,G85*12)</f>
        <v>33000</v>
      </c>
      <c r="M85" s="52" t="n">
        <f aca="false">IF(UPPER(I85)="VACANT",0,H85*12)</f>
        <v>35400</v>
      </c>
      <c r="N85" s="53" t="n">
        <f aca="false">IF(G85&gt;0,(H85-G85)/G85,"")</f>
        <v>0.0727272727272727</v>
      </c>
    </row>
    <row r="86" customFormat="false" ht="14.25" hidden="false" customHeight="true" outlineLevel="0" collapsed="false">
      <c r="B86" s="46" t="s">
        <v>62</v>
      </c>
      <c r="C86" s="47" t="n">
        <v>183</v>
      </c>
      <c r="D86" s="48" t="n">
        <v>3</v>
      </c>
      <c r="E86" s="48" t="n">
        <v>2</v>
      </c>
      <c r="F86" s="47" t="n">
        <v>1280</v>
      </c>
      <c r="G86" s="49" t="n">
        <v>2750</v>
      </c>
      <c r="H86" s="49" t="n">
        <v>2950</v>
      </c>
      <c r="I86" s="50" t="s">
        <v>59</v>
      </c>
      <c r="J86" s="51" t="n">
        <v>45658</v>
      </c>
      <c r="K86" s="51" t="n">
        <v>46752</v>
      </c>
      <c r="L86" s="52" t="n">
        <f aca="false">IF(UPPER(I86)="VACANT",0,G86*12)</f>
        <v>33000</v>
      </c>
      <c r="M86" s="52" t="n">
        <f aca="false">IF(UPPER(I86)="VACANT",0,H86*12)</f>
        <v>35400</v>
      </c>
      <c r="N86" s="53" t="n">
        <f aca="false">IF(G86&gt;0,(H86-G86)/G86,"")</f>
        <v>0.0727272727272727</v>
      </c>
    </row>
    <row r="87" customFormat="false" ht="14.25" hidden="false" customHeight="true" outlineLevel="0" collapsed="false">
      <c r="B87" s="46" t="s">
        <v>62</v>
      </c>
      <c r="C87" s="47" t="n">
        <v>184</v>
      </c>
      <c r="D87" s="48" t="n">
        <v>3</v>
      </c>
      <c r="E87" s="48" t="n">
        <v>2</v>
      </c>
      <c r="F87" s="47" t="n">
        <v>1280</v>
      </c>
      <c r="G87" s="49" t="n">
        <v>2750</v>
      </c>
      <c r="H87" s="49" t="n">
        <v>2950</v>
      </c>
      <c r="I87" s="50" t="s">
        <v>59</v>
      </c>
      <c r="J87" s="51" t="n">
        <v>45658</v>
      </c>
      <c r="K87" s="51" t="n">
        <v>46752</v>
      </c>
      <c r="L87" s="52" t="n">
        <f aca="false">IF(UPPER(I87)="VACANT",0,G87*12)</f>
        <v>33000</v>
      </c>
      <c r="M87" s="52" t="n">
        <f aca="false">IF(UPPER(I87)="VACANT",0,H87*12)</f>
        <v>35400</v>
      </c>
      <c r="N87" s="53" t="n">
        <f aca="false">IF(G87&gt;0,(H87-G87)/G87,"")</f>
        <v>0.0727272727272727</v>
      </c>
    </row>
    <row r="88" customFormat="false" ht="14.25" hidden="false" customHeight="true" outlineLevel="0" collapsed="false">
      <c r="B88" s="46" t="s">
        <v>62</v>
      </c>
      <c r="C88" s="47" t="n">
        <v>185</v>
      </c>
      <c r="D88" s="48" t="n">
        <v>3</v>
      </c>
      <c r="E88" s="48" t="n">
        <v>2</v>
      </c>
      <c r="F88" s="47" t="n">
        <v>1280</v>
      </c>
      <c r="G88" s="49" t="n">
        <v>2750</v>
      </c>
      <c r="H88" s="49" t="n">
        <v>2950</v>
      </c>
      <c r="I88" s="50" t="s">
        <v>59</v>
      </c>
      <c r="J88" s="51" t="n">
        <v>45658</v>
      </c>
      <c r="K88" s="51" t="n">
        <v>46752</v>
      </c>
      <c r="L88" s="52" t="n">
        <f aca="false">IF(UPPER(I88)="VACANT",0,G88*12)</f>
        <v>33000</v>
      </c>
      <c r="M88" s="52" t="n">
        <f aca="false">IF(UPPER(I88)="VACANT",0,H88*12)</f>
        <v>35400</v>
      </c>
      <c r="N88" s="53" t="n">
        <f aca="false">IF(G88&gt;0,(H88-G88)/G88,"")</f>
        <v>0.0727272727272727</v>
      </c>
    </row>
    <row r="89" customFormat="false" ht="14.25" hidden="false" customHeight="true" outlineLevel="0" collapsed="false">
      <c r="B89" s="46" t="s">
        <v>62</v>
      </c>
      <c r="C89" s="47" t="n">
        <v>186</v>
      </c>
      <c r="D89" s="48" t="n">
        <v>3</v>
      </c>
      <c r="E89" s="48" t="n">
        <v>2</v>
      </c>
      <c r="F89" s="47" t="n">
        <v>1280</v>
      </c>
      <c r="G89" s="49" t="n">
        <v>2750</v>
      </c>
      <c r="H89" s="49" t="n">
        <v>2950</v>
      </c>
      <c r="I89" s="50" t="s">
        <v>59</v>
      </c>
      <c r="J89" s="51" t="n">
        <v>45658</v>
      </c>
      <c r="K89" s="51" t="n">
        <v>46752</v>
      </c>
      <c r="L89" s="52" t="n">
        <f aca="false">IF(UPPER(I89)="VACANT",0,G89*12)</f>
        <v>33000</v>
      </c>
      <c r="M89" s="52" t="n">
        <f aca="false">IF(UPPER(I89)="VACANT",0,H89*12)</f>
        <v>35400</v>
      </c>
      <c r="N89" s="53" t="n">
        <f aca="false">IF(G89&gt;0,(H89-G89)/G89,"")</f>
        <v>0.0727272727272727</v>
      </c>
    </row>
    <row r="90" customFormat="false" ht="14.25" hidden="false" customHeight="true" outlineLevel="0" collapsed="false">
      <c r="B90" s="46" t="s">
        <v>62</v>
      </c>
      <c r="C90" s="47" t="n">
        <v>187</v>
      </c>
      <c r="D90" s="48" t="n">
        <v>3</v>
      </c>
      <c r="E90" s="48" t="n">
        <v>2</v>
      </c>
      <c r="F90" s="47" t="n">
        <v>1280</v>
      </c>
      <c r="G90" s="49" t="n">
        <v>2750</v>
      </c>
      <c r="H90" s="49" t="n">
        <v>2950</v>
      </c>
      <c r="I90" s="50" t="s">
        <v>59</v>
      </c>
      <c r="J90" s="51" t="n">
        <v>45658</v>
      </c>
      <c r="K90" s="51" t="n">
        <v>46752</v>
      </c>
      <c r="L90" s="52" t="n">
        <f aca="false">IF(UPPER(I90)="VACANT",0,G90*12)</f>
        <v>33000</v>
      </c>
      <c r="M90" s="52" t="n">
        <f aca="false">IF(UPPER(I90)="VACANT",0,H90*12)</f>
        <v>35400</v>
      </c>
      <c r="N90" s="53" t="n">
        <f aca="false">IF(G90&gt;0,(H90-G90)/G90,"")</f>
        <v>0.0727272727272727</v>
      </c>
    </row>
    <row r="91" customFormat="false" ht="14.25" hidden="false" customHeight="true" outlineLevel="0" collapsed="false">
      <c r="B91" s="46" t="s">
        <v>62</v>
      </c>
      <c r="C91" s="47" t="n">
        <v>188</v>
      </c>
      <c r="D91" s="48" t="n">
        <v>3</v>
      </c>
      <c r="E91" s="48" t="n">
        <v>2</v>
      </c>
      <c r="F91" s="47" t="n">
        <v>1280</v>
      </c>
      <c r="G91" s="49" t="n">
        <v>2750</v>
      </c>
      <c r="H91" s="49" t="n">
        <v>2950</v>
      </c>
      <c r="I91" s="50" t="s">
        <v>59</v>
      </c>
      <c r="J91" s="51" t="n">
        <v>45658</v>
      </c>
      <c r="K91" s="51" t="n">
        <v>46752</v>
      </c>
      <c r="L91" s="52" t="n">
        <f aca="false">IF(UPPER(I91)="VACANT",0,G91*12)</f>
        <v>33000</v>
      </c>
      <c r="M91" s="52" t="n">
        <f aca="false">IF(UPPER(I91)="VACANT",0,H91*12)</f>
        <v>35400</v>
      </c>
      <c r="N91" s="53" t="n">
        <f aca="false">IF(G91&gt;0,(H91-G91)/G91,"")</f>
        <v>0.0727272727272727</v>
      </c>
    </row>
    <row r="92" customFormat="false" ht="14.25" hidden="false" customHeight="true" outlineLevel="0" collapsed="false">
      <c r="B92" s="46" t="s">
        <v>62</v>
      </c>
      <c r="C92" s="47" t="n">
        <v>189</v>
      </c>
      <c r="D92" s="48" t="n">
        <v>3</v>
      </c>
      <c r="E92" s="48" t="n">
        <v>2</v>
      </c>
      <c r="F92" s="47" t="n">
        <v>1280</v>
      </c>
      <c r="G92" s="49" t="n">
        <v>2750</v>
      </c>
      <c r="H92" s="49" t="n">
        <v>2950</v>
      </c>
      <c r="I92" s="50" t="s">
        <v>59</v>
      </c>
      <c r="J92" s="51" t="n">
        <v>45658</v>
      </c>
      <c r="K92" s="51" t="n">
        <v>46752</v>
      </c>
      <c r="L92" s="52" t="n">
        <f aca="false">IF(UPPER(I92)="VACANT",0,G92*12)</f>
        <v>33000</v>
      </c>
      <c r="M92" s="52" t="n">
        <f aca="false">IF(UPPER(I92)="VACANT",0,H92*12)</f>
        <v>35400</v>
      </c>
      <c r="N92" s="53" t="n">
        <f aca="false">IF(G92&gt;0,(H92-G92)/G92,"")</f>
        <v>0.0727272727272727</v>
      </c>
    </row>
    <row r="93" customFormat="false" ht="14.25" hidden="false" customHeight="true" outlineLevel="0" collapsed="false">
      <c r="B93" s="54" t="s">
        <v>62</v>
      </c>
      <c r="C93" s="55" t="n">
        <v>190</v>
      </c>
      <c r="D93" s="56" t="n">
        <v>3</v>
      </c>
      <c r="E93" s="56" t="n">
        <v>2</v>
      </c>
      <c r="F93" s="55" t="n">
        <v>1280</v>
      </c>
      <c r="G93" s="57" t="n">
        <v>2750</v>
      </c>
      <c r="H93" s="57" t="n">
        <v>2950</v>
      </c>
      <c r="I93" s="58" t="s">
        <v>59</v>
      </c>
      <c r="J93" s="59" t="n">
        <v>45658</v>
      </c>
      <c r="K93" s="59" t="n">
        <v>46752</v>
      </c>
      <c r="L93" s="60" t="n">
        <f aca="false">IF(UPPER(I93)="VACANT",0,G93*12)</f>
        <v>33000</v>
      </c>
      <c r="M93" s="60" t="n">
        <f aca="false">IF(UPPER(I93)="VACANT",0,H93*12)</f>
        <v>35400</v>
      </c>
      <c r="N93" s="61" t="n">
        <f aca="false">IF(G93&gt;0,(H93-G93)/G93,"")</f>
        <v>0.0727272727272727</v>
      </c>
    </row>
    <row r="94" customFormat="false" ht="14.25" hidden="false" customHeight="true" outlineLevel="0" collapsed="false">
      <c r="B94" s="45" t="s">
        <v>63</v>
      </c>
      <c r="C94" s="62" t="n">
        <f aca="false">COUNT(C4:C93)</f>
        <v>90</v>
      </c>
      <c r="D94" s="63"/>
      <c r="E94" s="63"/>
      <c r="F94" s="62" t="n">
        <f aca="false">IF(COUNT(C4:C93)&gt;0,AVERAGE(F4:F93),"-")</f>
        <v>909.333333333333</v>
      </c>
      <c r="G94" s="64" t="n">
        <f aca="false">IFERROR(AVERAGEIF(I4:I93,"Occupied",G4:G93),"-")</f>
        <v>2130.23255813954</v>
      </c>
      <c r="H94" s="64" t="n">
        <f aca="false">IF(COUNT(C4:C93)&gt;0,AVERAGE(H4:H93),"-")</f>
        <v>2260.5</v>
      </c>
      <c r="I94" s="65" t="n">
        <f aca="false">COUNTIF(I4:I93,"Occupied")/COUNT(C4:C93)</f>
        <v>0.955555555555556</v>
      </c>
      <c r="J94" s="65"/>
      <c r="K94" s="65"/>
      <c r="L94" s="64" t="n">
        <f aca="false">SUM(L4:L93)</f>
        <v>2198400</v>
      </c>
      <c r="M94" s="64" t="n">
        <f aca="false">SUM(M4:M93)</f>
        <v>2354520</v>
      </c>
      <c r="N94" s="65" t="n">
        <f aca="false">IF(L94&gt;0,M94/L94-1,"-")</f>
        <v>0.0710152838427947</v>
      </c>
    </row>
  </sheetData>
  <mergeCells count="2">
    <mergeCell ref="B1:N1"/>
    <mergeCell ref="B2:N2"/>
  </mergeCells>
  <printOptions headings="false" gridLines="false" gridLinesSet="true" horizontalCentered="false" verticalCentered="false"/>
  <pageMargins left="0.5" right="0.5" top="0.75" bottom="0.75" header="0.3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&amp;L&amp;"Arial,Bold"&amp;10 &amp;K0a1628EPPS.AI&amp;C&amp;"Arial,Regular"&amp;9 &amp;K6b7280Rent Roll&amp;R&amp;"Arial,Regular"&amp;9 &amp;K6b7280Confidential</oddHeader>
    <oddFooter>&amp;C&amp;"Arial,Regular"&amp;9 &amp;K9ca3af[Asset Name] · Epps.ai Analysis&amp;R&amp;"Arial,Regular"&amp;9 &amp;K9ca3afPage &amp;P of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B9CF6"/>
    <pageSetUpPr fitToPage="tru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7" activeCellId="0" sqref="O17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37.09"/>
    <col collapsed="false" customWidth="true" hidden="false" outlineLevel="0" max="12" min="3" style="0" width="14"/>
  </cols>
  <sheetData>
    <row r="1" customFormat="false" ht="27.75" hidden="false" customHeight="true" outlineLevel="0" collapsed="false">
      <c r="B1" s="66" t="s">
        <v>64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customFormat="false" ht="19.5" hidden="false" customHeight="true" outlineLevel="0" collapsed="false">
      <c r="B2" s="67" t="s">
        <v>65</v>
      </c>
      <c r="C2" s="68" t="s">
        <v>66</v>
      </c>
      <c r="D2" s="68" t="s">
        <v>67</v>
      </c>
      <c r="E2" s="68" t="s">
        <v>68</v>
      </c>
      <c r="F2" s="68" t="s">
        <v>69</v>
      </c>
      <c r="G2" s="68" t="s">
        <v>70</v>
      </c>
      <c r="H2" s="68" t="s">
        <v>71</v>
      </c>
      <c r="I2" s="68" t="s">
        <v>72</v>
      </c>
      <c r="J2" s="68" t="s">
        <v>73</v>
      </c>
      <c r="K2" s="68" t="s">
        <v>74</v>
      </c>
      <c r="L2" s="68" t="s">
        <v>75</v>
      </c>
    </row>
    <row r="3" customFormat="false" ht="16.5" hidden="false" customHeight="true" outlineLevel="0" collapsed="false">
      <c r="B3" s="69" t="s">
        <v>76</v>
      </c>
      <c r="C3" s="70" t="n">
        <f aca="false">'Rent Roll'!L94</f>
        <v>2198400</v>
      </c>
      <c r="D3" s="71" t="n">
        <f aca="false">C3*(1+Assumptions!C21)</f>
        <v>2264352</v>
      </c>
      <c r="E3" s="70" t="n">
        <f aca="false">D3*(1+Assumptions!C21)</f>
        <v>2332282.56</v>
      </c>
      <c r="F3" s="71" t="n">
        <f aca="false">E3*(1+Assumptions!C21)</f>
        <v>2402251.0368</v>
      </c>
      <c r="G3" s="70" t="n">
        <f aca="false">F3*(1+Assumptions!C21)</f>
        <v>2474318.567904</v>
      </c>
      <c r="H3" s="71" t="n">
        <f aca="false">G3*(1+Assumptions!C22)</f>
        <v>2536176.5321016</v>
      </c>
      <c r="I3" s="70" t="n">
        <f aca="false">H3*(1+Assumptions!C22)</f>
        <v>2599580.94540414</v>
      </c>
      <c r="J3" s="71" t="n">
        <f aca="false">I3*(1+Assumptions!C22)</f>
        <v>2664570.46903924</v>
      </c>
      <c r="K3" s="70" t="n">
        <f aca="false">J3*(1+Assumptions!C22)</f>
        <v>2731184.73076522</v>
      </c>
      <c r="L3" s="71" t="n">
        <f aca="false">K3*(1+Assumptions!C22)</f>
        <v>2799464.34903436</v>
      </c>
    </row>
    <row r="4" customFormat="false" ht="16.5" hidden="false" customHeight="true" outlineLevel="0" collapsed="false">
      <c r="B4" s="35" t="s">
        <v>77</v>
      </c>
      <c r="C4" s="72" t="n">
        <v>0</v>
      </c>
      <c r="D4" s="73" t="n">
        <v>0</v>
      </c>
      <c r="E4" s="72" t="n">
        <v>0</v>
      </c>
      <c r="F4" s="73" t="n">
        <v>0</v>
      </c>
      <c r="G4" s="72" t="n">
        <v>0</v>
      </c>
      <c r="H4" s="73" t="n">
        <v>0</v>
      </c>
      <c r="I4" s="72" t="n">
        <v>0</v>
      </c>
      <c r="J4" s="73" t="n">
        <v>0</v>
      </c>
      <c r="K4" s="72" t="n">
        <v>0</v>
      </c>
      <c r="L4" s="73" t="n">
        <v>0</v>
      </c>
    </row>
    <row r="5" customFormat="false" ht="16.5" hidden="false" customHeight="true" outlineLevel="0" collapsed="false">
      <c r="B5" s="35" t="s">
        <v>78</v>
      </c>
      <c r="C5" s="72" t="n">
        <f aca="false">Assumptions!C20*'Rent Roll'!C94*12</f>
        <v>108000</v>
      </c>
      <c r="D5" s="73" t="n">
        <f aca="false">Assumptions!C20*'Rent Roll'!C94*12</f>
        <v>108000</v>
      </c>
      <c r="E5" s="72" t="n">
        <f aca="false">Assumptions!C20*'Rent Roll'!C94*12</f>
        <v>108000</v>
      </c>
      <c r="F5" s="73" t="n">
        <f aca="false">Assumptions!C20*'Rent Roll'!C94*12</f>
        <v>108000</v>
      </c>
      <c r="G5" s="72" t="n">
        <f aca="false">Assumptions!C20*'Rent Roll'!C94*12</f>
        <v>108000</v>
      </c>
      <c r="H5" s="73" t="n">
        <f aca="false">Assumptions!C20*'Rent Roll'!C94*12</f>
        <v>108000</v>
      </c>
      <c r="I5" s="72" t="n">
        <f aca="false">Assumptions!C20*'Rent Roll'!C94*12</f>
        <v>108000</v>
      </c>
      <c r="J5" s="73" t="n">
        <f aca="false">Assumptions!C20*'Rent Roll'!C94*12</f>
        <v>108000</v>
      </c>
      <c r="K5" s="72" t="n">
        <f aca="false">Assumptions!C20*'Rent Roll'!C94*12</f>
        <v>108000</v>
      </c>
      <c r="L5" s="73" t="n">
        <f aca="false">Assumptions!C20*'Rent Roll'!C94*12</f>
        <v>108000</v>
      </c>
    </row>
    <row r="6" customFormat="false" ht="16.5" hidden="false" customHeight="true" outlineLevel="0" collapsed="false">
      <c r="B6" s="35" t="s">
        <v>79</v>
      </c>
      <c r="C6" s="72" t="n">
        <f aca="false">IF(UPPER(Assumptions!$C$7)="YES",Assumptions!$C$53*Assumptions!$C$55*MIN(1/Assumptions!$C$54,1)*12,0)</f>
        <v>43875</v>
      </c>
      <c r="D6" s="73" t="n">
        <f aca="false">IF(UPPER(Assumptions!$C$7)="YES",Assumptions!$C$53*Assumptions!$C$55*MIN(2/Assumptions!$C$54,1)*12,0)</f>
        <v>87750</v>
      </c>
      <c r="E6" s="72" t="n">
        <f aca="false">IF(UPPER(Assumptions!$C$7)="YES",Assumptions!$C$53*Assumptions!$C$55*MIN(3/Assumptions!$C$54,1)*12,0)</f>
        <v>87750</v>
      </c>
      <c r="F6" s="73" t="n">
        <f aca="false">IF(UPPER(Assumptions!$C$7)="YES",Assumptions!$C$53*Assumptions!$C$55*MIN(4/Assumptions!$C$54,1)*12,0)</f>
        <v>87750</v>
      </c>
      <c r="G6" s="72" t="n">
        <f aca="false">IF(UPPER(Assumptions!$C$7)="YES",Assumptions!$C$53*Assumptions!$C$55*MIN(5/Assumptions!$C$54,1)*12,0)</f>
        <v>87750</v>
      </c>
      <c r="H6" s="73" t="n">
        <f aca="false">IF(UPPER(Assumptions!$C$7)="YES",Assumptions!$C$53*Assumptions!$C$55*MIN(6/Assumptions!$C$54,1)*12,0)</f>
        <v>87750</v>
      </c>
      <c r="I6" s="72" t="n">
        <f aca="false">IF(UPPER(Assumptions!$C$7)="YES",Assumptions!$C$53*Assumptions!$C$55*MIN(7/Assumptions!$C$54,1)*12,0)</f>
        <v>87750</v>
      </c>
      <c r="J6" s="73" t="n">
        <f aca="false">IF(UPPER(Assumptions!$C$7)="YES",Assumptions!$C$53*Assumptions!$C$55*MIN(8/Assumptions!$C$54,1)*12,0)</f>
        <v>87750</v>
      </c>
      <c r="K6" s="72" t="n">
        <f aca="false">IF(UPPER(Assumptions!$C$7)="YES",Assumptions!$C$53*Assumptions!$C$55*MIN(9/Assumptions!$C$54,1)*12,0)</f>
        <v>87750</v>
      </c>
      <c r="L6" s="73" t="n">
        <f aca="false">IF(UPPER(Assumptions!$C$7)="YES",Assumptions!$C$53*Assumptions!$C$55*MIN(10/Assumptions!$C$54,1)*12,0)</f>
        <v>87750</v>
      </c>
    </row>
    <row r="7" customFormat="false" ht="18" hidden="false" customHeight="true" outlineLevel="0" collapsed="false">
      <c r="B7" s="74" t="s">
        <v>80</v>
      </c>
      <c r="C7" s="75" t="n">
        <f aca="false">SUM(C3:C6)</f>
        <v>2350275</v>
      </c>
      <c r="D7" s="75" t="n">
        <f aca="false">SUM(D3:D6)</f>
        <v>2460102</v>
      </c>
      <c r="E7" s="75" t="n">
        <f aca="false">SUM(E3:E6)</f>
        <v>2528032.56</v>
      </c>
      <c r="F7" s="75" t="n">
        <f aca="false">SUM(F3:F6)</f>
        <v>2598001.0368</v>
      </c>
      <c r="G7" s="75" t="n">
        <f aca="false">SUM(G3:G6)</f>
        <v>2670068.567904</v>
      </c>
      <c r="H7" s="75" t="n">
        <f aca="false">SUM(H3:H6)</f>
        <v>2731926.5321016</v>
      </c>
      <c r="I7" s="75" t="n">
        <f aca="false">SUM(I3:I6)</f>
        <v>2795330.94540414</v>
      </c>
      <c r="J7" s="75" t="n">
        <f aca="false">SUM(J3:J6)</f>
        <v>2860320.46903924</v>
      </c>
      <c r="K7" s="75" t="n">
        <f aca="false">SUM(K3:K6)</f>
        <v>2926934.73076522</v>
      </c>
      <c r="L7" s="75" t="n">
        <f aca="false">SUM(L3:L6)</f>
        <v>2995214.34903436</v>
      </c>
    </row>
    <row r="8" customFormat="false" ht="16.5" hidden="false" customHeight="true" outlineLevel="0" collapsed="false">
      <c r="B8" s="35" t="s">
        <v>81</v>
      </c>
      <c r="C8" s="76" t="n">
        <f aca="false">-((Assumptions!C29+Assumptions!C30+Assumptions!C32+Assumptions!C33+Assumptions!C34+Assumptions!C35+Assumptions!C36+Assumptions!C37+Assumptions!C38+Assumptions!C39+Assumptions!C40)*12*'Rent Roll'!C94*POWER(1+Assumptions!C41,0)+C7*Assumptions!C31+'Rent Roll'!C94*Assumptions!C23*Assumptions!C24)</f>
        <v>-850197.5625</v>
      </c>
      <c r="D8" s="77" t="n">
        <f aca="false">-((Assumptions!C29+Assumptions!C30+Assumptions!C32+Assumptions!C33+Assumptions!C34+Assumptions!C35+Assumptions!C36+Assumptions!C37+Assumptions!C38+Assumptions!C39+Assumptions!C40)*12*'Rent Roll'!C94*POWER(1+Assumptions!C41,1)+D7*Assumptions!C31+'Rent Roll'!C94*Assumptions!C23*Assumptions!C24)</f>
        <v>-872603.805</v>
      </c>
      <c r="E8" s="76" t="n">
        <f aca="false">-((Assumptions!C29+Assumptions!C30+Assumptions!C32+Assumptions!C33+Assumptions!C34+Assumptions!C35+Assumptions!C36+Assumptions!C37+Assumptions!C38+Assumptions!C39+Assumptions!C40)*12*'Rent Roll'!C94*POWER(1+Assumptions!C41,2)+E7*Assumptions!C31+'Rent Roll'!C94*Assumptions!C23*Assumptions!C24)</f>
        <v>-894342.5454</v>
      </c>
      <c r="F8" s="77" t="n">
        <f aca="false">-((Assumptions!C29+Assumptions!C30+Assumptions!C32+Assumptions!C33+Assumptions!C34+Assumptions!C35+Assumptions!C36+Assumptions!C37+Assumptions!C38+Assumptions!C39+Assumptions!C40)*12*'Rent Roll'!C94*POWER(1+Assumptions!C41,3)+F7*Assumptions!C31+'Rent Roll'!C94*Assumptions!C23*Assumptions!C24)</f>
        <v>-916634.094762</v>
      </c>
      <c r="G8" s="76" t="n">
        <f aca="false">-((Assumptions!C29+Assumptions!C30+Assumptions!C32+Assumptions!C33+Assumptions!C34+Assumptions!C35+Assumptions!C36+Assumptions!C37+Assumptions!C38+Assumptions!C39+Assumptions!C40)*12*'Rent Roll'!C94*POWER(1+Assumptions!C41,4)+G7*Assumptions!C31+'Rent Roll'!C94*Assumptions!C23*Assumptions!C24)</f>
        <v>-939492.55352361</v>
      </c>
      <c r="H8" s="77" t="n">
        <f aca="false">-((Assumptions!C29+Assumptions!C30+Assumptions!C32+Assumptions!C33+Assumptions!C34+Assumptions!C35+Assumptions!C36+Assumptions!C37+Assumptions!C38+Assumptions!C39+Assumptions!C40)*12*'Rent Roll'!C94*POWER(1+Assumptions!C41,5)+H7*Assumptions!C31+'Rent Roll'!C94*Assumptions!C23*Assumptions!C24)</f>
        <v>-962592.1642367</v>
      </c>
      <c r="I8" s="76" t="n">
        <f aca="false">-((Assumptions!C29+Assumptions!C30+Assumptions!C32+Assumptions!C33+Assumptions!C34+Assumptions!C35+Assumptions!C36+Assumptions!C37+Assumptions!C38+Assumptions!C39+Assumptions!C40)*12*'Rent Roll'!C94*POWER(1+Assumptions!C41,6)+I7*Assumptions!C31+'Rent Roll'!C94*Assumptions!C23*Assumptions!C24)</f>
        <v>-986269.265217617</v>
      </c>
      <c r="J8" s="77" t="n">
        <f aca="false">-((Assumptions!C29+Assumptions!C30+Assumptions!C32+Assumptions!C33+Assumptions!C34+Assumptions!C35+Assumptions!C36+Assumptions!C37+Assumptions!C38+Assumptions!C39+Assumptions!C40)*12*'Rent Roll'!C94*POWER(1+Assumptions!C41,7)+J7*Assumptions!C31+'Rent Roll'!C94*Assumptions!C23*Assumptions!C24)</f>
        <v>-1010538.29372306</v>
      </c>
      <c r="K8" s="76" t="n">
        <f aca="false">-((Assumptions!C29+Assumptions!C30+Assumptions!C32+Assumptions!C33+Assumptions!C34+Assumptions!C35+Assumptions!C36+Assumptions!C37+Assumptions!C38+Assumptions!C39+Assumptions!C40)*12*'Rent Roll'!C94*POWER(1+Assumptions!C41,8)+K7*Assumptions!C31+'Rent Roll'!C94*Assumptions!C23*Assumptions!C24)</f>
        <v>-1035414.04794113</v>
      </c>
      <c r="L8" s="77" t="n">
        <f aca="false">-((Assumptions!C29+Assumptions!C30+Assumptions!C32+Assumptions!C33+Assumptions!C34+Assumptions!C35+Assumptions!C36+Assumptions!C37+Assumptions!C38+Assumptions!C39+Assumptions!C40)*12*'Rent Roll'!C94*POWER(1+Assumptions!C41,9)+L7*Assumptions!C31+'Rent Roll'!C94*Assumptions!C23*Assumptions!C24)</f>
        <v>-1060911.69601466</v>
      </c>
    </row>
    <row r="9" customFormat="false" ht="18" hidden="false" customHeight="true" outlineLevel="0" collapsed="false">
      <c r="B9" s="74" t="s">
        <v>82</v>
      </c>
      <c r="C9" s="75" t="n">
        <f aca="false">C7+C8</f>
        <v>1500077.4375</v>
      </c>
      <c r="D9" s="75" t="n">
        <f aca="false">D7+D8</f>
        <v>1587498.195</v>
      </c>
      <c r="E9" s="75" t="n">
        <f aca="false">E7+E8</f>
        <v>1633690.0146</v>
      </c>
      <c r="F9" s="75" t="n">
        <f aca="false">F7+F8</f>
        <v>1681366.942038</v>
      </c>
      <c r="G9" s="75" t="n">
        <f aca="false">G7+G8</f>
        <v>1730576.01438039</v>
      </c>
      <c r="H9" s="75" t="n">
        <f aca="false">H7+H8</f>
        <v>1769334.3678649</v>
      </c>
      <c r="I9" s="75" t="n">
        <f aca="false">I7+I8</f>
        <v>1809061.68018652</v>
      </c>
      <c r="J9" s="75" t="n">
        <f aca="false">J7+J8</f>
        <v>1849782.17531619</v>
      </c>
      <c r="K9" s="75" t="n">
        <f aca="false">K7+K8</f>
        <v>1891520.68282409</v>
      </c>
      <c r="L9" s="75" t="n">
        <f aca="false">L7+L8</f>
        <v>1934302.65301969</v>
      </c>
    </row>
    <row r="10" customFormat="false" ht="18" hidden="false" customHeight="true" outlineLevel="0" collapsed="false">
      <c r="B10" s="78" t="s">
        <v>83</v>
      </c>
      <c r="C10" s="79" t="n">
        <f aca="false">C9/C7</f>
        <v>0.638256134920382</v>
      </c>
      <c r="D10" s="79" t="n">
        <f aca="false">D9/D7</f>
        <v>0.645297713265548</v>
      </c>
      <c r="E10" s="79" t="n">
        <f aca="false">E9/E7</f>
        <v>0.646229815410289</v>
      </c>
      <c r="F10" s="79" t="n">
        <f aca="false">F9/F7</f>
        <v>0.647177163604587</v>
      </c>
      <c r="G10" s="79" t="n">
        <f aca="false">G9/G7</f>
        <v>0.648139165856288</v>
      </c>
      <c r="H10" s="79" t="n">
        <f aca="false">H9/H7</f>
        <v>0.647650786752233</v>
      </c>
      <c r="I10" s="79" t="n">
        <f aca="false">I9/I7</f>
        <v>0.647172630189222</v>
      </c>
      <c r="J10" s="79" t="n">
        <f aca="false">J9/J7</f>
        <v>0.646704519769252</v>
      </c>
      <c r="K10" s="79" t="n">
        <f aca="false">K9/K7</f>
        <v>0.646246280431941</v>
      </c>
      <c r="L10" s="79" t="n">
        <f aca="false">L9/L7</f>
        <v>0.645797738530234</v>
      </c>
    </row>
    <row r="11" customFormat="false" ht="16.5" hidden="false" customHeight="true" outlineLevel="0" collapsed="false">
      <c r="B11" s="35" t="s">
        <v>84</v>
      </c>
      <c r="C11" s="76" t="n">
        <f aca="false">-'Debt &amp; Amort'!C15</f>
        <v>-897000</v>
      </c>
      <c r="D11" s="77" t="n">
        <f aca="false">-'Debt &amp; Amort'!D15</f>
        <v>-897000</v>
      </c>
      <c r="E11" s="76" t="n">
        <f aca="false">-'Debt &amp; Amort'!E15</f>
        <v>-1092448.38726233</v>
      </c>
      <c r="F11" s="77" t="n">
        <f aca="false">-'Debt &amp; Amort'!F15</f>
        <v>-1092448.38726233</v>
      </c>
      <c r="G11" s="76" t="n">
        <f aca="false">-'Debt &amp; Amort'!G15</f>
        <v>-1092448.38726233</v>
      </c>
      <c r="H11" s="77" t="n">
        <f aca="false">-'Debt &amp; Amort'!H15</f>
        <v>-1092448.38726233</v>
      </c>
      <c r="I11" s="76" t="n">
        <f aca="false">-'Debt &amp; Amort'!I15</f>
        <v>-1092448.38726233</v>
      </c>
      <c r="J11" s="77" t="n">
        <f aca="false">-'Debt &amp; Amort'!J15</f>
        <v>-1092448.38726233</v>
      </c>
      <c r="K11" s="76" t="n">
        <f aca="false">-'Debt &amp; Amort'!K15</f>
        <v>-1092448.38726233</v>
      </c>
      <c r="L11" s="77" t="n">
        <f aca="false">-'Debt &amp; Amort'!L15</f>
        <v>-1092448.38726233</v>
      </c>
    </row>
    <row r="12" customFormat="false" ht="16.5" hidden="false" customHeight="true" outlineLevel="0" collapsed="false">
      <c r="B12" s="35" t="s">
        <v>85</v>
      </c>
      <c r="C12" s="76" t="n">
        <f aca="false">IF(UPPER(Assumptions!$C$7)="YES",IF(1&lt;=Assumptions!$C$54,-(Assumptions!$C$52*Assumptions!$C$53/Assumptions!$C$54),0),0)</f>
        <v>-292500</v>
      </c>
      <c r="D12" s="77" t="n">
        <f aca="false">IF(UPPER(Assumptions!$C$7)="YES",IF(2&lt;=Assumptions!$C$54,-(Assumptions!$C$52*Assumptions!$C$53/Assumptions!$C$54),0),0)</f>
        <v>-292500</v>
      </c>
      <c r="E12" s="76" t="n">
        <f aca="false">IF(UPPER(Assumptions!$C$7)="YES",IF(3&lt;=Assumptions!$C$54,-(Assumptions!$C$52*Assumptions!$C$53/Assumptions!$C$54),0),0)</f>
        <v>0</v>
      </c>
      <c r="F12" s="77" t="n">
        <f aca="false">IF(UPPER(Assumptions!$C$7)="YES",IF(4&lt;=Assumptions!$C$54,-(Assumptions!$C$52*Assumptions!$C$53/Assumptions!$C$54),0),0)</f>
        <v>0</v>
      </c>
      <c r="G12" s="76" t="n">
        <f aca="false">IF(UPPER(Assumptions!$C$7)="YES",IF(5&lt;=Assumptions!$C$54,-(Assumptions!$C$52*Assumptions!$C$53/Assumptions!$C$54),0),0)</f>
        <v>0</v>
      </c>
      <c r="H12" s="77" t="n">
        <f aca="false">IF(UPPER(Assumptions!$C$7)="YES",IF(6&lt;=Assumptions!$C$54,-(Assumptions!$C$52*Assumptions!$C$53/Assumptions!$C$54),0),0)</f>
        <v>0</v>
      </c>
      <c r="I12" s="76" t="n">
        <f aca="false">IF(UPPER(Assumptions!$C$7)="YES",IF(7&lt;=Assumptions!$C$54,-(Assumptions!$C$52*Assumptions!$C$53/Assumptions!$C$54),0),0)</f>
        <v>0</v>
      </c>
      <c r="J12" s="77" t="n">
        <f aca="false">IF(UPPER(Assumptions!$C$7)="YES",IF(8&lt;=Assumptions!$C$54,-(Assumptions!$C$52*Assumptions!$C$53/Assumptions!$C$54),0),0)</f>
        <v>0</v>
      </c>
      <c r="K12" s="76" t="n">
        <f aca="false">IF(UPPER(Assumptions!$C$7)="YES",IF(9&lt;=Assumptions!$C$54,-(Assumptions!$C$52*Assumptions!$C$53/Assumptions!$C$54),0),0)</f>
        <v>0</v>
      </c>
      <c r="L12" s="77" t="n">
        <f aca="false">IF(UPPER(Assumptions!$C$7)="YES",IF(10&lt;=Assumptions!$C$54,-(Assumptions!$C$52*Assumptions!$C$53/Assumptions!$C$54),0),0)</f>
        <v>0</v>
      </c>
    </row>
    <row r="13" customFormat="false" ht="16.5" hidden="false" customHeight="true" outlineLevel="0" collapsed="false">
      <c r="B13" s="35" t="s">
        <v>86</v>
      </c>
      <c r="C13" s="76" t="n">
        <f aca="false">-Assumptions!$C$10*Assumptions!$C$65</f>
        <v>-260000</v>
      </c>
      <c r="D13" s="76" t="n">
        <f aca="false">-Assumptions!$C$10*Assumptions!$C$65</f>
        <v>-260000</v>
      </c>
      <c r="E13" s="76" t="n">
        <f aca="false">-Assumptions!$C$10*Assumptions!$C$65</f>
        <v>-260000</v>
      </c>
      <c r="F13" s="76" t="n">
        <f aca="false">-Assumptions!$C$10*Assumptions!$C$65</f>
        <v>-260000</v>
      </c>
      <c r="G13" s="76" t="n">
        <f aca="false">-Assumptions!$C$10*Assumptions!$C$65</f>
        <v>-260000</v>
      </c>
      <c r="H13" s="76" t="n">
        <f aca="false">-Assumptions!$C$10*Assumptions!$C$65</f>
        <v>-260000</v>
      </c>
      <c r="I13" s="76" t="n">
        <f aca="false">-Assumptions!$C$10*Assumptions!$C$65</f>
        <v>-260000</v>
      </c>
      <c r="J13" s="76" t="n">
        <f aca="false">-Assumptions!$C$10*Assumptions!$C$65</f>
        <v>-260000</v>
      </c>
      <c r="K13" s="76" t="n">
        <f aca="false">-Assumptions!$C$10*Assumptions!$C$65</f>
        <v>-260000</v>
      </c>
      <c r="L13" s="76" t="n">
        <f aca="false">-Assumptions!$C$10*Assumptions!$C$65</f>
        <v>-260000</v>
      </c>
    </row>
    <row r="14" customFormat="false" ht="19.5" hidden="false" customHeight="true" outlineLevel="0" collapsed="false">
      <c r="B14" s="80" t="s">
        <v>87</v>
      </c>
      <c r="C14" s="81" t="n">
        <f aca="false">C9+C11+C12+C13</f>
        <v>50577.4375</v>
      </c>
      <c r="D14" s="81" t="n">
        <f aca="false">D9+D11+D12+D13</f>
        <v>137998.195</v>
      </c>
      <c r="E14" s="81" t="n">
        <f aca="false">E9+E11+E12+E13</f>
        <v>281241.627337669</v>
      </c>
      <c r="F14" s="81" t="n">
        <f aca="false">F9+F11+F12+F13</f>
        <v>328918.554775669</v>
      </c>
      <c r="G14" s="81" t="n">
        <f aca="false">G9+G11+G12+G13</f>
        <v>378127.62711806</v>
      </c>
      <c r="H14" s="81" t="n">
        <f aca="false">H9+H11+H12+H13</f>
        <v>416885.980602569</v>
      </c>
      <c r="I14" s="81" t="n">
        <f aca="false">I9+I11+I12+I13</f>
        <v>456613.292924192</v>
      </c>
      <c r="J14" s="81" t="n">
        <f aca="false">J9+J11+J12+J13</f>
        <v>497333.788053855</v>
      </c>
      <c r="K14" s="81" t="n">
        <f aca="false">K9+K11+K12+K13</f>
        <v>539072.295561759</v>
      </c>
      <c r="L14" s="81" t="n">
        <f aca="false">L9+L11+L12+L13</f>
        <v>581854.265757361</v>
      </c>
    </row>
    <row r="15" customFormat="false" ht="16.5" hidden="false" customHeight="true" outlineLevel="0" collapsed="false">
      <c r="B15" s="82" t="s">
        <v>88</v>
      </c>
      <c r="C15" s="83" t="n">
        <f aca="false">C9+C12</f>
        <v>1207577.4375</v>
      </c>
      <c r="D15" s="83" t="n">
        <f aca="false">D9+D12</f>
        <v>1294998.195</v>
      </c>
      <c r="E15" s="83" t="n">
        <f aca="false">E9+E12</f>
        <v>1633690.0146</v>
      </c>
      <c r="F15" s="83" t="n">
        <f aca="false">F9+F12</f>
        <v>1681366.942038</v>
      </c>
      <c r="G15" s="83" t="n">
        <f aca="false">G9+G12</f>
        <v>1730576.01438039</v>
      </c>
      <c r="H15" s="83" t="n">
        <f aca="false">H9+H12</f>
        <v>1769334.3678649</v>
      </c>
      <c r="I15" s="83" t="n">
        <f aca="false">I9+I12</f>
        <v>1809061.68018652</v>
      </c>
      <c r="J15" s="83" t="n">
        <f aca="false">J9+J12</f>
        <v>1849782.17531619</v>
      </c>
      <c r="K15" s="83" t="n">
        <f aca="false">K9+K12</f>
        <v>1891520.68282409</v>
      </c>
      <c r="L15" s="83" t="n">
        <f aca="false">L9+L12</f>
        <v>1934302.65301969</v>
      </c>
    </row>
    <row r="16" customFormat="false" ht="16.5" hidden="false" customHeight="true" outlineLevel="0" collapsed="false">
      <c r="B16" s="84" t="s">
        <v>89</v>
      </c>
      <c r="C16" s="85" t="n">
        <f aca="false">IF(Summary!$C$15&gt;0,C14/Summary!$C$15,0)</f>
        <v>0.00441492994937151</v>
      </c>
      <c r="D16" s="85" t="n">
        <f aca="false">IF(Summary!$C$15&gt;0,D14/Summary!$C$15,0)</f>
        <v>0.0120459318261173</v>
      </c>
      <c r="E16" s="85" t="n">
        <f aca="false">IF(Summary!$C$15&gt;0,E14/Summary!$C$15,0)</f>
        <v>0.0245497230567099</v>
      </c>
      <c r="F16" s="85" t="n">
        <f aca="false">IF(Summary!$C$15&gt;0,F14/Summary!$C$15,0)</f>
        <v>0.0287114660244125</v>
      </c>
      <c r="G16" s="85" t="n">
        <f aca="false">IF(Summary!$C$15&gt;0,G14/Summary!$C$15,0)</f>
        <v>0.0330069506911714</v>
      </c>
      <c r="H16" s="85" t="n">
        <f aca="false">IF(Summary!$C$15&gt;0,H14/Summary!$C$15,0)</f>
        <v>0.0363901868542746</v>
      </c>
      <c r="I16" s="85" t="n">
        <f aca="false">IF(Summary!$C$15&gt;0,I14/Summary!$C$15,0)</f>
        <v>0.0398580039214553</v>
      </c>
      <c r="J16" s="85" t="n">
        <f aca="false">IF(Summary!$C$15&gt;0,J14/Summary!$C$15,0)</f>
        <v>0.0434125164153155</v>
      </c>
      <c r="K16" s="85" t="n">
        <f aca="false">IF(Summary!$C$15&gt;0,K14/Summary!$C$15,0)</f>
        <v>0.0470558917215223</v>
      </c>
      <c r="L16" s="85" t="n">
        <f aca="false">IF(Summary!$C$15&gt;0,L14/Summary!$C$15,0)</f>
        <v>0.0507903514103842</v>
      </c>
    </row>
    <row r="17" customFormat="false" ht="16.5" hidden="false" customHeight="true" outlineLevel="0" collapsed="false">
      <c r="A17" s="0" t="n">
        <v>-1</v>
      </c>
      <c r="B17" s="86" t="s">
        <v>90</v>
      </c>
    </row>
    <row r="18" customFormat="false" ht="14.25" hidden="false" customHeight="true" outlineLevel="0" collapsed="false">
      <c r="A18" s="0" t="n">
        <v>-1</v>
      </c>
    </row>
    <row r="19" customFormat="false" ht="6" hidden="false" customHeight="true" outlineLevel="0" collapsed="false"/>
    <row r="20" customFormat="false" ht="15.75" hidden="false" customHeight="true" outlineLevel="0" collapsed="false">
      <c r="A20" s="87" t="s">
        <v>91</v>
      </c>
      <c r="B20" s="88" t="n">
        <f aca="false">-Summary!$C$15</f>
        <v>-11456000</v>
      </c>
      <c r="C20" s="88" t="n">
        <f aca="false">C14</f>
        <v>50577.4375</v>
      </c>
      <c r="D20" s="88" t="n">
        <f aca="false">D14</f>
        <v>137998.195</v>
      </c>
      <c r="E20" s="88" t="n">
        <f aca="false">E14</f>
        <v>281241.627337669</v>
      </c>
      <c r="F20" s="88" t="n">
        <f aca="false">F14</f>
        <v>328918.554775669</v>
      </c>
      <c r="G20" s="88" t="n">
        <f aca="false">G14</f>
        <v>378127.62711806</v>
      </c>
      <c r="H20" s="88" t="n">
        <f aca="false">H14</f>
        <v>416885.980602569</v>
      </c>
      <c r="I20" s="88" t="n">
        <f aca="false">I14</f>
        <v>456613.292924192</v>
      </c>
      <c r="J20" s="88" t="n">
        <f aca="false">J14</f>
        <v>497333.788053855</v>
      </c>
      <c r="K20" s="88" t="n">
        <f aca="false">K14</f>
        <v>539072.295561759</v>
      </c>
      <c r="L20" s="89" t="n">
        <f aca="false">L14+Returns!$C$13</f>
        <v>22226424.9090151</v>
      </c>
    </row>
    <row r="21" customFormat="false" ht="15.75" hidden="false" customHeight="true" outlineLevel="0" collapsed="false">
      <c r="A21" s="90" t="s">
        <v>92</v>
      </c>
      <c r="B21" s="91" t="n">
        <f aca="false">-(Assumptions!C10+Assumptions!C10*Assumptions!C11+Assumptions!C13)</f>
        <v>-26640000</v>
      </c>
      <c r="C21" s="91" t="n">
        <f aca="false">C15</f>
        <v>1207577.4375</v>
      </c>
      <c r="D21" s="91" t="n">
        <f aca="false">D15</f>
        <v>1294998.195</v>
      </c>
      <c r="E21" s="91" t="n">
        <f aca="false">E15</f>
        <v>1633690.0146</v>
      </c>
      <c r="F21" s="91" t="n">
        <f aca="false">F15</f>
        <v>1681366.942038</v>
      </c>
      <c r="G21" s="91" t="n">
        <f aca="false">G15</f>
        <v>1730576.01438039</v>
      </c>
      <c r="H21" s="91" t="n">
        <f aca="false">H15</f>
        <v>1769334.3678649</v>
      </c>
      <c r="I21" s="91" t="n">
        <f aca="false">I15</f>
        <v>1809061.68018652</v>
      </c>
      <c r="J21" s="91" t="n">
        <f aca="false">J15</f>
        <v>1849782.17531619</v>
      </c>
      <c r="K21" s="91" t="n">
        <f aca="false">K15</f>
        <v>1891520.68282409</v>
      </c>
      <c r="L21" s="92" t="n">
        <f aca="false">L15+Returns!$C$10</f>
        <v>37982670.2774776</v>
      </c>
    </row>
    <row r="22" customFormat="false" ht="15.75" hidden="false" customHeight="true" outlineLevel="0" collapsed="false">
      <c r="A22" s="93" t="s">
        <v>93</v>
      </c>
      <c r="B22" s="94" t="n">
        <f aca="false">-Summary!$C$15*(1-Assumptions!$C$58)</f>
        <v>-10310400</v>
      </c>
      <c r="C22" s="94" t="n">
        <f aca="false">C25</f>
        <v>50577.4375</v>
      </c>
      <c r="D22" s="94" t="n">
        <f aca="false">D25</f>
        <v>137998.195</v>
      </c>
      <c r="E22" s="94" t="n">
        <f aca="false">E25</f>
        <v>281241.627337669</v>
      </c>
      <c r="F22" s="94" t="n">
        <f aca="false">F25</f>
        <v>328918.554775669</v>
      </c>
      <c r="G22" s="94" t="n">
        <f aca="false">G25</f>
        <v>378127.62711806</v>
      </c>
      <c r="H22" s="94" t="n">
        <f aca="false">H25</f>
        <v>416885.980602569</v>
      </c>
      <c r="I22" s="94" t="n">
        <f aca="false">I25</f>
        <v>456613.292924192</v>
      </c>
      <c r="J22" s="94" t="n">
        <f aca="false">J25</f>
        <v>497333.788053855</v>
      </c>
      <c r="K22" s="94" t="n">
        <f aca="false">K25</f>
        <v>539072.295561759</v>
      </c>
      <c r="L22" s="95" t="n">
        <f aca="false">Returns!$C$25+MAX(0,Returns!$C$13-Returns!$C$25-Returns!$C$24)*(1-Assumptions!$C$58)-MAX(0,Returns!$C$13-Returns!$C$25-Returns!$C$24)*(1-Assumptions!$C$58)*Assumptions!$C$61+L25</f>
        <v>18228025.1289029</v>
      </c>
    </row>
    <row r="23" customFormat="false" ht="15.75" hidden="false" customHeight="true" outlineLevel="0" collapsed="false">
      <c r="A23" s="90" t="s">
        <v>94</v>
      </c>
      <c r="B23" s="91" t="n">
        <f aca="false">-Summary!$C$15*Assumptions!$C$58</f>
        <v>-1145600</v>
      </c>
      <c r="C23" s="91" t="n">
        <f aca="false">C26</f>
        <v>0</v>
      </c>
      <c r="D23" s="91" t="n">
        <f aca="false">D26</f>
        <v>0</v>
      </c>
      <c r="E23" s="91" t="n">
        <f aca="false">E26</f>
        <v>0</v>
      </c>
      <c r="F23" s="91" t="n">
        <f aca="false">F26</f>
        <v>0</v>
      </c>
      <c r="G23" s="91" t="n">
        <f aca="false">G26</f>
        <v>0</v>
      </c>
      <c r="H23" s="91" t="n">
        <f aca="false">H26</f>
        <v>0</v>
      </c>
      <c r="I23" s="91" t="n">
        <f aca="false">I26</f>
        <v>0</v>
      </c>
      <c r="J23" s="91" t="n">
        <f aca="false">J26</f>
        <v>0</v>
      </c>
      <c r="K23" s="91" t="n">
        <f aca="false">K26</f>
        <v>0</v>
      </c>
      <c r="L23" s="92" t="n">
        <f aca="false">Returns!$C$24+MAX(0,Returns!$C$13-Returns!$C$25-Returns!$C$24)*Assumptions!$C$58+MAX(0,Returns!$C$13-Returns!$C$25-Returns!$C$24)*(1-Assumptions!$C$58)*Assumptions!$C$61+L26</f>
        <v>3998399.78011215</v>
      </c>
    </row>
    <row r="24" customFormat="false" ht="7.5" hidden="false" customHeight="true" outlineLevel="0" collapsed="false"/>
    <row r="25" customFormat="false" ht="15.75" hidden="false" customHeight="true" outlineLevel="0" collapsed="false">
      <c r="A25" s="96" t="s">
        <v>95</v>
      </c>
      <c r="C25" s="94" t="n">
        <f aca="false">IF(C14&lt;=0,C14*(1-Assumptions!$C$58),MIN(C14,Returns!$C$27)+MAX(0,C14-Returns!$C$27)*(1-Assumptions!$C$58))</f>
        <v>50577.4375</v>
      </c>
      <c r="D25" s="94" t="n">
        <f aca="false">IF(D14&lt;=0,D14*(1-Assumptions!$C$58),MIN(D14,Returns!$C$27)+MAX(0,D14-Returns!$C$27)*(1-Assumptions!$C$58))</f>
        <v>137998.195</v>
      </c>
      <c r="E25" s="94" t="n">
        <f aca="false">IF(E14&lt;=0,E14*(1-Assumptions!$C$58),MIN(E14,Returns!$C$27)+MAX(0,E14-Returns!$C$27)*(1-Assumptions!$C$58))</f>
        <v>281241.627337669</v>
      </c>
      <c r="F25" s="94" t="n">
        <f aca="false">IF(F14&lt;=0,F14*(1-Assumptions!$C$58),MIN(F14,Returns!$C$27)+MAX(0,F14-Returns!$C$27)*(1-Assumptions!$C$58))</f>
        <v>328918.554775669</v>
      </c>
      <c r="G25" s="94" t="n">
        <f aca="false">IF(G14&lt;=0,G14*(1-Assumptions!$C$58),MIN(G14,Returns!$C$27)+MAX(0,G14-Returns!$C$27)*(1-Assumptions!$C$58))</f>
        <v>378127.62711806</v>
      </c>
      <c r="H25" s="94" t="n">
        <f aca="false">IF(H14&lt;=0,H14*(1-Assumptions!$C$58),MIN(H14,Returns!$C$27)+MAX(0,H14-Returns!$C$27)*(1-Assumptions!$C$58))</f>
        <v>416885.980602569</v>
      </c>
      <c r="I25" s="94" t="n">
        <f aca="false">IF(I14&lt;=0,I14*(1-Assumptions!$C$58),MIN(I14,Returns!$C$27)+MAX(0,I14-Returns!$C$27)*(1-Assumptions!$C$58))</f>
        <v>456613.292924192</v>
      </c>
      <c r="J25" s="94" t="n">
        <f aca="false">IF(J14&lt;=0,J14*(1-Assumptions!$C$58),MIN(J14,Returns!$C$27)+MAX(0,J14-Returns!$C$27)*(1-Assumptions!$C$58))</f>
        <v>497333.788053855</v>
      </c>
      <c r="K25" s="94" t="n">
        <f aca="false">IF(K14&lt;=0,K14*(1-Assumptions!$C$58),MIN(K14,Returns!$C$27)+MAX(0,K14-Returns!$C$27)*(1-Assumptions!$C$58))</f>
        <v>539072.295561759</v>
      </c>
      <c r="L25" s="94" t="n">
        <f aca="false">IF(L14&lt;=0,L14*(1-Assumptions!$C$58),MIN(L14,Returns!$C$27)+MAX(0,L14-Returns!$C$27)*(1-Assumptions!$C$58))</f>
        <v>581854.265757361</v>
      </c>
    </row>
    <row r="26" customFormat="false" ht="15.75" hidden="false" customHeight="true" outlineLevel="0" collapsed="false">
      <c r="A26" s="97" t="s">
        <v>96</v>
      </c>
      <c r="C26" s="91" t="n">
        <f aca="false">IF(C14&lt;=0,C14*Assumptions!$C$58,MAX(0,C14-Returns!$C$27)*Assumptions!$C$58)</f>
        <v>0</v>
      </c>
      <c r="D26" s="91" t="n">
        <f aca="false">IF(D14&lt;=0,D14*Assumptions!$C$58,MAX(0,D14-Returns!$C$27)*Assumptions!$C$58)</f>
        <v>0</v>
      </c>
      <c r="E26" s="91" t="n">
        <f aca="false">IF(E14&lt;=0,E14*Assumptions!$C$58,MAX(0,E14-Returns!$C$27)*Assumptions!$C$58)</f>
        <v>0</v>
      </c>
      <c r="F26" s="91" t="n">
        <f aca="false">IF(F14&lt;=0,F14*Assumptions!$C$58,MAX(0,F14-Returns!$C$27)*Assumptions!$C$58)</f>
        <v>0</v>
      </c>
      <c r="G26" s="91" t="n">
        <f aca="false">IF(G14&lt;=0,G14*Assumptions!$C$58,MAX(0,G14-Returns!$C$27)*Assumptions!$C$58)</f>
        <v>0</v>
      </c>
      <c r="H26" s="91" t="n">
        <f aca="false">IF(H14&lt;=0,H14*Assumptions!$C$58,MAX(0,H14-Returns!$C$27)*Assumptions!$C$58)</f>
        <v>0</v>
      </c>
      <c r="I26" s="91" t="n">
        <f aca="false">IF(I14&lt;=0,I14*Assumptions!$C$58,MAX(0,I14-Returns!$C$27)*Assumptions!$C$58)</f>
        <v>0</v>
      </c>
      <c r="J26" s="91" t="n">
        <f aca="false">IF(J14&lt;=0,J14*Assumptions!$C$58,MAX(0,J14-Returns!$C$27)*Assumptions!$C$58)</f>
        <v>0</v>
      </c>
      <c r="K26" s="91" t="n">
        <f aca="false">IF(K14&lt;=0,K14*Assumptions!$C$58,MAX(0,K14-Returns!$C$27)*Assumptions!$C$58)</f>
        <v>0</v>
      </c>
      <c r="L26" s="91" t="n">
        <f aca="false">IF(L14&lt;=0,L14*Assumptions!$C$58,MAX(0,L14-Returns!$C$27)*Assumptions!$C$58)</f>
        <v>0</v>
      </c>
    </row>
  </sheetData>
  <mergeCells count="1">
    <mergeCell ref="B1:L1"/>
  </mergeCells>
  <printOptions headings="false" gridLines="false" gridLinesSet="true" horizontalCentered="false" verticalCentered="false"/>
  <pageMargins left="0.5" right="0.5" top="0.75" bottom="0.75" header="0.3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&amp;L&amp;"Arial,Bold"&amp;10 &amp;K0a1628EPPS.AI&amp;C&amp;"Arial,Regular"&amp;9 &amp;K6b7280Cash Flow&amp;R&amp;"Arial,Regular"&amp;9 &amp;K6b7280Confidential</oddHeader>
    <oddFooter>&amp;C&amp;"Arial,Regular"&amp;9 &amp;K9ca3af[Asset Name] · Epps.ai Analysis&amp;R&amp;"Arial,Regular"&amp;9 &amp;K9ca3afPage 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B9CF6"/>
    <pageSetUpPr fitToPage="true"/>
  </sheetPr>
  <dimension ref="B1:L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12" min="3" style="0" width="14"/>
  </cols>
  <sheetData>
    <row r="1" customFormat="false" ht="27.75" hidden="false" customHeight="true" outlineLevel="0" collapsed="false">
      <c r="B1" s="66" t="s">
        <v>97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customFormat="false" ht="18" hidden="false" customHeight="true" outlineLevel="0" collapsed="false">
      <c r="B2" s="4" t="s">
        <v>98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16.5" hidden="false" customHeight="true" outlineLevel="0" collapsed="false">
      <c r="B3" s="99" t="s">
        <v>19</v>
      </c>
      <c r="C3" s="100" t="n">
        <f aca="false">Assumptions!C10*Assumptions!C12</f>
        <v>15600000</v>
      </c>
    </row>
    <row r="4" customFormat="false" ht="16.5" hidden="false" customHeight="true" outlineLevel="0" collapsed="false">
      <c r="B4" s="101" t="s">
        <v>21</v>
      </c>
      <c r="C4" s="102" t="n">
        <f aca="false">Assumptions!C12</f>
        <v>0.6</v>
      </c>
    </row>
    <row r="5" customFormat="false" ht="16.5" hidden="false" customHeight="true" outlineLevel="0" collapsed="false">
      <c r="B5" s="103" t="s">
        <v>99</v>
      </c>
      <c r="C5" s="104" t="n">
        <f aca="false">Assumptions!C45</f>
        <v>0.0575</v>
      </c>
    </row>
    <row r="6" customFormat="false" ht="16.5" hidden="false" customHeight="true" outlineLevel="0" collapsed="false">
      <c r="B6" s="101" t="s">
        <v>100</v>
      </c>
      <c r="C6" s="105" t="n">
        <f aca="false">Assumptions!C46</f>
        <v>2</v>
      </c>
    </row>
    <row r="7" customFormat="false" ht="16.5" hidden="false" customHeight="true" outlineLevel="0" collapsed="false">
      <c r="B7" s="103" t="s">
        <v>101</v>
      </c>
      <c r="C7" s="106" t="n">
        <f aca="false">Assumptions!C47</f>
        <v>30</v>
      </c>
    </row>
    <row r="8" customFormat="false" ht="16.5" hidden="false" customHeight="true" outlineLevel="0" collapsed="false">
      <c r="B8" s="101" t="s">
        <v>102</v>
      </c>
      <c r="C8" s="105" t="n">
        <f aca="false">Assumptions!C48</f>
        <v>10</v>
      </c>
    </row>
    <row r="9" customFormat="false" ht="16.5" hidden="false" customHeight="true" outlineLevel="0" collapsed="false">
      <c r="B9" s="103" t="s">
        <v>103</v>
      </c>
      <c r="C9" s="107" t="n">
        <f aca="false">C3*Assumptions!C49</f>
        <v>156000</v>
      </c>
    </row>
    <row r="10" customFormat="false" ht="16.5" hidden="false" customHeight="true" outlineLevel="0" collapsed="false">
      <c r="B10" s="101" t="s">
        <v>23</v>
      </c>
      <c r="C10" s="108" t="n">
        <f aca="false">IF(ABS('Cash Flow'!C11)&gt;0,'Cash Flow'!C9/ABS('Cash Flow'!C11),0)</f>
        <v>1.67232713210702</v>
      </c>
    </row>
    <row r="11" customFormat="false" ht="16.5" hidden="false" customHeight="true" outlineLevel="0" collapsed="false">
      <c r="B11" s="103" t="s">
        <v>104</v>
      </c>
      <c r="C11" s="107" t="n">
        <f aca="false">'Debt &amp; Amort'!L18</f>
        <v>13682829.6287111</v>
      </c>
    </row>
    <row r="13" customFormat="false" ht="18" hidden="false" customHeight="true" outlineLevel="0" collapsed="false">
      <c r="B13" s="4" t="s">
        <v>105</v>
      </c>
      <c r="C13" s="4"/>
      <c r="D13" s="109"/>
      <c r="E13" s="109"/>
      <c r="F13" s="109"/>
      <c r="G13" s="109"/>
      <c r="H13" s="109"/>
      <c r="I13" s="109"/>
      <c r="J13" s="109"/>
      <c r="K13" s="109"/>
      <c r="L13" s="109"/>
    </row>
    <row r="14" customFormat="false" ht="19.5" hidden="false" customHeight="true" outlineLevel="0" collapsed="false">
      <c r="B14" s="67" t="s">
        <v>65</v>
      </c>
      <c r="C14" s="68" t="s">
        <v>66</v>
      </c>
      <c r="D14" s="68" t="s">
        <v>67</v>
      </c>
      <c r="E14" s="68" t="s">
        <v>68</v>
      </c>
      <c r="F14" s="68" t="s">
        <v>69</v>
      </c>
      <c r="G14" s="68" t="s">
        <v>70</v>
      </c>
      <c r="H14" s="68" t="s">
        <v>71</v>
      </c>
      <c r="I14" s="68" t="s">
        <v>72</v>
      </c>
      <c r="J14" s="68" t="s">
        <v>73</v>
      </c>
      <c r="K14" s="68" t="s">
        <v>74</v>
      </c>
      <c r="L14" s="68" t="s">
        <v>75</v>
      </c>
    </row>
    <row r="15" customFormat="false" ht="16.5" hidden="false" customHeight="true" outlineLevel="0" collapsed="false">
      <c r="B15" s="110" t="s">
        <v>84</v>
      </c>
      <c r="C15" s="71" t="n">
        <f aca="false">IF(1&lt;=C6,C3*C5/12*12,ABS(PMT(C5/12,C7*12,-C3))*12)</f>
        <v>897000</v>
      </c>
      <c r="D15" s="70" t="n">
        <f aca="false">IF(2&lt;=C6,C3*C5/12*12,ABS(PMT(C5/12,C7*12,-C3))*12)</f>
        <v>897000</v>
      </c>
      <c r="E15" s="71" t="n">
        <f aca="false">IF(3&lt;=C6,C3*C5/12*12,ABS(PMT(C5/12,C7*12,-C3))*12)</f>
        <v>1092448.38726233</v>
      </c>
      <c r="F15" s="70" t="n">
        <f aca="false">IF(4&lt;=C6,C3*C5/12*12,ABS(PMT(C5/12,C7*12,-C3))*12)</f>
        <v>1092448.38726233</v>
      </c>
      <c r="G15" s="71" t="n">
        <f aca="false">IF(5&lt;=C6,C3*C5/12*12,ABS(PMT(C5/12,C7*12,-C3))*12)</f>
        <v>1092448.38726233</v>
      </c>
      <c r="H15" s="70" t="n">
        <f aca="false">IF(6&lt;=C6,C3*C5/12*12,ABS(PMT(C5/12,C7*12,-C3))*12)</f>
        <v>1092448.38726233</v>
      </c>
      <c r="I15" s="71" t="n">
        <f aca="false">IF(7&lt;=C6,C3*C5/12*12,ABS(PMT(C5/12,C7*12,-C3))*12)</f>
        <v>1092448.38726233</v>
      </c>
      <c r="J15" s="70" t="n">
        <f aca="false">IF(8&lt;=C6,C3*C5/12*12,ABS(PMT(C5/12,C7*12,-C3))*12)</f>
        <v>1092448.38726233</v>
      </c>
      <c r="K15" s="71" t="n">
        <f aca="false">IF(9&lt;=C6,C3*C5/12*12,ABS(PMT(C5/12,C7*12,-C3))*12)</f>
        <v>1092448.38726233</v>
      </c>
      <c r="L15" s="70" t="n">
        <f aca="false">IF(10&lt;=C6,C3*C5/12*12,ABS(PMT(C5/12,C7*12,-C3))*12)</f>
        <v>1092448.38726233</v>
      </c>
    </row>
    <row r="16" customFormat="false" ht="16.5" hidden="false" customHeight="true" outlineLevel="0" collapsed="false">
      <c r="B16" s="111" t="s">
        <v>106</v>
      </c>
      <c r="C16" s="73" t="n">
        <f aca="false">IF(1&lt;=C6,0,C15-C17)</f>
        <v>0</v>
      </c>
      <c r="D16" s="72" t="n">
        <f aca="false">IF(2&lt;=C6,0,D15-D17)</f>
        <v>0</v>
      </c>
      <c r="E16" s="73" t="n">
        <f aca="false">IF(3&lt;=C6,0,E15-E17)</f>
        <v>195448.387262331</v>
      </c>
      <c r="F16" s="72" t="n">
        <f aca="false">IF(4&lt;=C6,0,F15-F17)</f>
        <v>206686.669529915</v>
      </c>
      <c r="G16" s="73" t="n">
        <f aca="false">IF(5&lt;=C6,0,G15-G17)</f>
        <v>218571.153027885</v>
      </c>
      <c r="H16" s="72" t="n">
        <f aca="false">IF(6&lt;=C6,0,H15-H17)</f>
        <v>231138.994326989</v>
      </c>
      <c r="I16" s="73" t="n">
        <f aca="false">IF(7&lt;=C6,0,I15-I17)</f>
        <v>244429.486500791</v>
      </c>
      <c r="J16" s="72" t="n">
        <f aca="false">IF(8&lt;=C6,0,J15-J17)</f>
        <v>258484.181974586</v>
      </c>
      <c r="K16" s="73" t="n">
        <f aca="false">IF(9&lt;=C6,0,K15-K17)</f>
        <v>273347.022438125</v>
      </c>
      <c r="L16" s="72" t="n">
        <f aca="false">IF(10&lt;=C6,0,L15-L17)</f>
        <v>289064.476228317</v>
      </c>
    </row>
    <row r="17" customFormat="false" ht="16.5" hidden="false" customHeight="true" outlineLevel="0" collapsed="false">
      <c r="B17" s="112" t="s">
        <v>107</v>
      </c>
      <c r="C17" s="113" t="n">
        <f aca="false">C3*C5/12*12</f>
        <v>897000</v>
      </c>
      <c r="D17" s="114" t="n">
        <f aca="false">C18*C5/12*12</f>
        <v>897000</v>
      </c>
      <c r="E17" s="113" t="n">
        <f aca="false">D18*C5/12*12</f>
        <v>897000</v>
      </c>
      <c r="F17" s="114" t="n">
        <f aca="false">E18*C5/12*12</f>
        <v>885761.717732416</v>
      </c>
      <c r="G17" s="113" t="n">
        <f aca="false">F18*C5/12*12</f>
        <v>873877.234234446</v>
      </c>
      <c r="H17" s="114" t="n">
        <f aca="false">G18*C5/12*12</f>
        <v>861309.392935343</v>
      </c>
      <c r="I17" s="113" t="n">
        <f aca="false">H18*C5/12*12</f>
        <v>848018.900761541</v>
      </c>
      <c r="J17" s="114" t="n">
        <f aca="false">I18*C5/12*12</f>
        <v>833964.205287745</v>
      </c>
      <c r="K17" s="113" t="n">
        <f aca="false">J18*C5/12*12</f>
        <v>819101.364824207</v>
      </c>
      <c r="L17" s="114" t="n">
        <f aca="false">K18*C5/12*12</f>
        <v>803383.911034014</v>
      </c>
    </row>
    <row r="18" customFormat="false" ht="16.5" hidden="false" customHeight="true" outlineLevel="0" collapsed="false">
      <c r="B18" s="115" t="s">
        <v>108</v>
      </c>
      <c r="C18" s="116" t="n">
        <f aca="false">C3</f>
        <v>15600000</v>
      </c>
      <c r="D18" s="116" t="n">
        <f aca="false">C18-D16</f>
        <v>15600000</v>
      </c>
      <c r="E18" s="116" t="n">
        <f aca="false">D18-E16</f>
        <v>15404551.6127377</v>
      </c>
      <c r="F18" s="116" t="n">
        <f aca="false">E18-F16</f>
        <v>15197864.9432078</v>
      </c>
      <c r="G18" s="116" t="n">
        <f aca="false">F18-G16</f>
        <v>14979293.7901799</v>
      </c>
      <c r="H18" s="116" t="n">
        <f aca="false">G18-H16</f>
        <v>14748154.7958529</v>
      </c>
      <c r="I18" s="116" t="n">
        <f aca="false">H18-I16</f>
        <v>14503725.3093521</v>
      </c>
      <c r="J18" s="116" t="n">
        <f aca="false">I18-J16</f>
        <v>14245241.1273775</v>
      </c>
      <c r="K18" s="116" t="n">
        <f aca="false">J18-K16</f>
        <v>13971894.1049394</v>
      </c>
      <c r="L18" s="116" t="n">
        <f aca="false">K18-L16</f>
        <v>13682829.6287111</v>
      </c>
    </row>
  </sheetData>
  <printOptions headings="false" gridLines="false" gridLinesSet="true" horizontalCentered="false" verticalCentered="false"/>
  <pageMargins left="0.5" right="0.5" top="0.75" bottom="0.75" header="0.3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&amp;L&amp;"Arial,Bold"&amp;10 &amp;K0a1628EPPS.AI&amp;C&amp;"Arial,Regular"&amp;9 &amp;K6b7280Debt Amort&amp;R&amp;"Arial,Regular"&amp;9 &amp;K6b7280Confidential</oddHeader>
    <oddFooter>&amp;C&amp;"Arial,Regular"&amp;9 &amp;K9ca3af[Asset Name] · Epps.ai Analysis&amp;R&amp;"Arial,Regular"&amp;9 &amp;K9ca3afPage &amp;P of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true"/>
  </sheetPr>
  <dimension ref="B1:C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3.45"/>
    <col collapsed="false" customWidth="true" hidden="false" outlineLevel="0" max="3" min="3" style="0" width="52.54"/>
    <col collapsed="false" customWidth="true" hidden="false" outlineLevel="0" max="4" min="4" style="0" width="25"/>
  </cols>
  <sheetData>
    <row r="1" customFormat="false" ht="27.75" hidden="false" customHeight="true" outlineLevel="0" collapsed="false">
      <c r="B1" s="66" t="s">
        <v>109</v>
      </c>
      <c r="C1" s="66"/>
    </row>
    <row r="2" customFormat="false" ht="29.25" hidden="false" customHeight="true" outlineLevel="0" collapsed="false">
      <c r="B2" s="117" t="s">
        <v>110</v>
      </c>
      <c r="C2" s="117"/>
    </row>
    <row r="3" customFormat="false" ht="18" hidden="false" customHeight="true" outlineLevel="0" collapsed="false">
      <c r="B3" s="80" t="s">
        <v>111</v>
      </c>
      <c r="C3" s="80"/>
    </row>
    <row r="4" customFormat="false" ht="16.5" hidden="false" customHeight="true" outlineLevel="0" collapsed="false">
      <c r="B4" s="110" t="s">
        <v>12</v>
      </c>
      <c r="C4" s="118" t="n">
        <f aca="false">IRR('Cash Flow'!B21:L21)</f>
        <v>0.0849631627059646</v>
      </c>
    </row>
    <row r="5" customFormat="false" ht="16.5" hidden="false" customHeight="true" outlineLevel="0" collapsed="false">
      <c r="B5" s="111" t="s">
        <v>14</v>
      </c>
      <c r="C5" s="119" t="n">
        <f aca="false">IRR('Cash Flow'!B20:L20)</f>
        <v>0.0878044005583993</v>
      </c>
    </row>
    <row r="6" customFormat="false" ht="16.5" hidden="false" customHeight="true" outlineLevel="0" collapsed="false">
      <c r="B6" s="120" t="s">
        <v>112</v>
      </c>
      <c r="C6" s="121" t="n">
        <f aca="false">IF(Summary!C15&gt;0,(SUM('Cash Flow'!C14:L14)+Returns!C13)/Summary!C15,0)</f>
        <v>2.20960140606571</v>
      </c>
    </row>
    <row r="7" customFormat="false" ht="16.5" hidden="false" customHeight="true" outlineLevel="0" collapsed="false">
      <c r="B7" s="111" t="s">
        <v>113</v>
      </c>
      <c r="C7" s="119" t="n">
        <f aca="false">AVERAGE('Cash Flow'!C16:L16)</f>
        <v>0.0320235951870735</v>
      </c>
    </row>
    <row r="8" customFormat="false" ht="16.5" hidden="false" customHeight="true" outlineLevel="0" collapsed="false">
      <c r="B8" s="35" t="s">
        <v>24</v>
      </c>
      <c r="C8" s="73" t="n">
        <f aca="false">'Cash Flow'!C9</f>
        <v>1500077.4375</v>
      </c>
    </row>
    <row r="9" customFormat="false" ht="16.5" hidden="false" customHeight="true" outlineLevel="0" collapsed="false">
      <c r="B9" s="111" t="s">
        <v>28</v>
      </c>
      <c r="C9" s="73" t="n">
        <f aca="false">'Cash Flow'!L9*(1+Assumptions!C22)</f>
        <v>1982660.21934519</v>
      </c>
    </row>
    <row r="10" customFormat="false" ht="16.5" hidden="false" customHeight="true" outlineLevel="0" collapsed="false">
      <c r="B10" s="35" t="s">
        <v>29</v>
      </c>
      <c r="C10" s="122" t="n">
        <f aca="false">C9/Assumptions!C15</f>
        <v>36048367.6244579</v>
      </c>
    </row>
    <row r="11" customFormat="false" ht="16.5" hidden="false" customHeight="true" outlineLevel="0" collapsed="false">
      <c r="B11" s="111" t="s">
        <v>114</v>
      </c>
      <c r="C11" s="123" t="n">
        <f aca="false">Assumptions!C15</f>
        <v>0.055</v>
      </c>
    </row>
    <row r="12" customFormat="false" ht="16.5" hidden="false" customHeight="true" outlineLevel="0" collapsed="false">
      <c r="B12" s="35" t="s">
        <v>115</v>
      </c>
      <c r="C12" s="122" t="n">
        <f aca="false">'Debt &amp; Amort'!L18</f>
        <v>13682829.6287111</v>
      </c>
    </row>
    <row r="13" customFormat="false" ht="16.5" hidden="false" customHeight="true" outlineLevel="0" collapsed="false">
      <c r="B13" s="111" t="s">
        <v>30</v>
      </c>
      <c r="C13" s="124" t="n">
        <f aca="false">C10*(1-Assumptions!C16)-C12</f>
        <v>21644570.6432577</v>
      </c>
    </row>
    <row r="14" customFormat="false" ht="15" hidden="false" customHeight="true" outlineLevel="0" collapsed="false"/>
    <row r="15" customFormat="false" ht="18" hidden="false" customHeight="true" outlineLevel="0" collapsed="false">
      <c r="B15" s="74" t="s">
        <v>116</v>
      </c>
      <c r="C15" s="125" t="str">
        <f aca="false">"—"</f>
        <v>—</v>
      </c>
    </row>
    <row r="16" customFormat="false" ht="16.5" hidden="false" customHeight="true" outlineLevel="0" collapsed="false">
      <c r="B16" s="35" t="s">
        <v>117</v>
      </c>
      <c r="C16" s="73" t="n">
        <f aca="false">Assumptions!C10*Assumptions!C64</f>
        <v>260000</v>
      </c>
    </row>
    <row r="17" customFormat="false" ht="16.5" hidden="false" customHeight="true" outlineLevel="0" collapsed="false">
      <c r="B17" s="111" t="s">
        <v>118</v>
      </c>
      <c r="C17" s="118" t="n">
        <f aca="false">Assumptions!C64</f>
        <v>0.01</v>
      </c>
    </row>
    <row r="18" customFormat="false" ht="16.5" hidden="false" customHeight="true" outlineLevel="0" collapsed="false">
      <c r="B18" s="35" t="s">
        <v>119</v>
      </c>
      <c r="C18" s="73" t="n">
        <f aca="false">Assumptions!C10*Assumptions!C65</f>
        <v>260000</v>
      </c>
    </row>
    <row r="19" customFormat="false" ht="16.5" hidden="false" customHeight="true" outlineLevel="0" collapsed="false">
      <c r="B19" s="111" t="s">
        <v>120</v>
      </c>
      <c r="C19" s="118" t="n">
        <f aca="false">Assumptions!C65</f>
        <v>0.01</v>
      </c>
    </row>
    <row r="20" customFormat="false" ht="16.5" hidden="false" customHeight="true" outlineLevel="0" collapsed="false">
      <c r="B20" s="35" t="s">
        <v>121</v>
      </c>
      <c r="C20" s="124" t="n">
        <f aca="false">C16+C18*Assumptions!C14+C10*Assumptions!C66</f>
        <v>3220483.67624458</v>
      </c>
    </row>
    <row r="21" customFormat="false" ht="15" hidden="false" customHeight="true" outlineLevel="0" collapsed="false"/>
    <row r="22" customFormat="false" ht="18" hidden="false" customHeight="true" outlineLevel="0" collapsed="false">
      <c r="B22" s="74" t="s">
        <v>122</v>
      </c>
    </row>
    <row r="23" customFormat="false" ht="16.5" hidden="false" customHeight="true" outlineLevel="0" collapsed="false">
      <c r="B23" s="35" t="s">
        <v>123</v>
      </c>
      <c r="C23" s="118" t="n">
        <f aca="false">Assumptions!C58</f>
        <v>0.1</v>
      </c>
    </row>
    <row r="24" customFormat="false" ht="16.5" hidden="false" customHeight="true" outlineLevel="0" collapsed="false">
      <c r="B24" s="111" t="s">
        <v>124</v>
      </c>
      <c r="C24" s="73" t="n">
        <f aca="false">Summary!C15*Assumptions!C58</f>
        <v>1145600</v>
      </c>
    </row>
    <row r="25" customFormat="false" ht="16.5" hidden="false" customHeight="true" outlineLevel="0" collapsed="false">
      <c r="B25" s="35" t="s">
        <v>125</v>
      </c>
      <c r="C25" s="72" t="n">
        <f aca="false">Summary!C15*(1-Assumptions!C58)</f>
        <v>10310400</v>
      </c>
    </row>
    <row r="26" customFormat="false" ht="16.5" hidden="false" customHeight="true" outlineLevel="0" collapsed="false">
      <c r="B26" s="111" t="s">
        <v>126</v>
      </c>
      <c r="C26" s="126" t="n">
        <f aca="false">Assumptions!C59</f>
        <v>0.08</v>
      </c>
    </row>
    <row r="27" customFormat="false" ht="16.5" hidden="false" customHeight="true" outlineLevel="0" collapsed="false">
      <c r="B27" s="35" t="s">
        <v>127</v>
      </c>
      <c r="C27" s="72" t="n">
        <f aca="false">C25*C26</f>
        <v>824832</v>
      </c>
    </row>
    <row r="28" customFormat="false" ht="16.5" hidden="false" customHeight="true" outlineLevel="0" collapsed="false">
      <c r="B28" s="127" t="s">
        <v>128</v>
      </c>
      <c r="C28" s="128" t="n">
        <f aca="false">IRR('Cash Flow'!B22:L22)</f>
        <v>0.0809952262329593</v>
      </c>
    </row>
    <row r="29" customFormat="false" ht="16.5" hidden="false" customHeight="true" outlineLevel="0" collapsed="false">
      <c r="B29" s="120" t="s">
        <v>129</v>
      </c>
      <c r="C29" s="129" t="n">
        <f aca="false">IRR('Cash Flow'!B23:L23)</f>
        <v>0.13314456738055</v>
      </c>
    </row>
    <row r="30" customFormat="false" ht="15" hidden="false" customHeight="true" outlineLevel="0" collapsed="false">
      <c r="C30" s="125"/>
    </row>
  </sheetData>
  <mergeCells count="1">
    <mergeCell ref="B2:C2"/>
  </mergeCells>
  <printOptions headings="false" gridLines="false" gridLinesSet="true" horizontalCentered="false" verticalCentered="false"/>
  <pageMargins left="0.5" right="0.5" top="0.75" bottom="0.75" header="0.3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&amp;L&amp;"Arial,Bold"&amp;10 &amp;K0a1628EPPS.AI&amp;C&amp;"Arial,Regular"&amp;9 &amp;K6b7280Returns&amp;R&amp;"Arial,Regular"&amp;9 &amp;K6b7280Confidential</oddHeader>
    <oddFooter>&amp;C&amp;"Arial,Regular"&amp;9 &amp;K9ca3af[Asset Name] · Epps.ai Analysis&amp;R&amp;"Arial,Regular"&amp;9 &amp;K9ca3afPage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05252"/>
    <pageSetUpPr fitToPage="true"/>
  </sheetPr>
  <dimension ref="B1:L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4"/>
    <col collapsed="false" customWidth="true" hidden="false" outlineLevel="0" max="13" min="3" style="0" width="10"/>
  </cols>
  <sheetData>
    <row r="1" customFormat="false" ht="27.75" hidden="false" customHeight="true" outlineLevel="0" collapsed="false">
      <c r="B1" s="130" t="s">
        <v>130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customFormat="false" ht="13.5" hidden="false" customHeight="true" outlineLevel="0" collapsed="false">
      <c r="B2" s="131" t="s">
        <v>131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customFormat="false" ht="19.5" hidden="false" customHeight="true" outlineLevel="0" collapsed="false">
      <c r="B3" s="132" t="s">
        <v>132</v>
      </c>
      <c r="C3" s="133" t="n">
        <v>0.0475</v>
      </c>
      <c r="D3" s="133" t="n">
        <v>0.05</v>
      </c>
      <c r="E3" s="133" t="n">
        <v>0.0525</v>
      </c>
      <c r="F3" s="133" t="n">
        <v>0.055</v>
      </c>
      <c r="G3" s="133" t="n">
        <v>0.0575</v>
      </c>
      <c r="H3" s="133" t="n">
        <v>0.06</v>
      </c>
      <c r="I3" s="133" t="n">
        <v>0.0625</v>
      </c>
      <c r="J3" s="133" t="n">
        <v>0.065</v>
      </c>
      <c r="K3" s="133" t="n">
        <v>0.0675</v>
      </c>
      <c r="L3" s="133" t="n">
        <v>0.07</v>
      </c>
    </row>
    <row r="4" customFormat="false" ht="16.5" hidden="false" customHeight="true" outlineLevel="0" collapsed="false">
      <c r="B4" s="134" t="n">
        <v>0.015</v>
      </c>
      <c r="C4" s="135" t="s">
        <v>133</v>
      </c>
      <c r="D4" s="135" t="s">
        <v>134</v>
      </c>
      <c r="E4" s="136" t="s">
        <v>135</v>
      </c>
      <c r="F4" s="136" t="s">
        <v>136</v>
      </c>
      <c r="G4" s="136" t="s">
        <v>137</v>
      </c>
      <c r="H4" s="136" t="s">
        <v>138</v>
      </c>
      <c r="I4" s="136" t="s">
        <v>139</v>
      </c>
      <c r="J4" s="136" t="s">
        <v>140</v>
      </c>
      <c r="K4" s="136" t="s">
        <v>141</v>
      </c>
      <c r="L4" s="136" t="s">
        <v>142</v>
      </c>
    </row>
    <row r="5" customFormat="false" ht="16.5" hidden="false" customHeight="true" outlineLevel="0" collapsed="false">
      <c r="B5" s="134" t="n">
        <v>0.0175</v>
      </c>
      <c r="C5" s="135" t="s">
        <v>143</v>
      </c>
      <c r="D5" s="135" t="s">
        <v>144</v>
      </c>
      <c r="E5" s="135" t="s">
        <v>145</v>
      </c>
      <c r="F5" s="136" t="s">
        <v>146</v>
      </c>
      <c r="G5" s="136" t="s">
        <v>147</v>
      </c>
      <c r="H5" s="136" t="s">
        <v>148</v>
      </c>
      <c r="I5" s="136" t="s">
        <v>149</v>
      </c>
      <c r="J5" s="136" t="s">
        <v>150</v>
      </c>
      <c r="K5" s="136" t="s">
        <v>151</v>
      </c>
      <c r="L5" s="136" t="s">
        <v>152</v>
      </c>
    </row>
    <row r="6" customFormat="false" ht="16.5" hidden="false" customHeight="true" outlineLevel="0" collapsed="false">
      <c r="B6" s="134" t="n">
        <v>0.02</v>
      </c>
      <c r="C6" s="135" t="s">
        <v>153</v>
      </c>
      <c r="D6" s="135" t="s">
        <v>154</v>
      </c>
      <c r="E6" s="135" t="s">
        <v>134</v>
      </c>
      <c r="F6" s="136" t="s">
        <v>155</v>
      </c>
      <c r="G6" s="136" t="s">
        <v>156</v>
      </c>
      <c r="H6" s="136" t="s">
        <v>157</v>
      </c>
      <c r="I6" s="136" t="s">
        <v>158</v>
      </c>
      <c r="J6" s="136" t="s">
        <v>159</v>
      </c>
      <c r="K6" s="136" t="s">
        <v>160</v>
      </c>
      <c r="L6" s="136" t="s">
        <v>161</v>
      </c>
    </row>
    <row r="7" customFormat="false" ht="16.5" hidden="false" customHeight="true" outlineLevel="0" collapsed="false">
      <c r="B7" s="134" t="n">
        <v>0.0225</v>
      </c>
      <c r="C7" s="135" t="s">
        <v>162</v>
      </c>
      <c r="D7" s="135" t="s">
        <v>143</v>
      </c>
      <c r="E7" s="135" t="s">
        <v>144</v>
      </c>
      <c r="F7" s="135" t="s">
        <v>163</v>
      </c>
      <c r="G7" s="136" t="s">
        <v>164</v>
      </c>
      <c r="H7" s="136" t="s">
        <v>165</v>
      </c>
      <c r="I7" s="136" t="s">
        <v>166</v>
      </c>
      <c r="J7" s="136" t="s">
        <v>138</v>
      </c>
      <c r="K7" s="136" t="s">
        <v>139</v>
      </c>
      <c r="L7" s="136" t="s">
        <v>167</v>
      </c>
    </row>
    <row r="8" customFormat="false" ht="16.5" hidden="false" customHeight="true" outlineLevel="0" collapsed="false">
      <c r="B8" s="134" t="n">
        <v>0.025</v>
      </c>
      <c r="C8" s="135" t="s">
        <v>168</v>
      </c>
      <c r="D8" s="135" t="s">
        <v>153</v>
      </c>
      <c r="E8" s="135" t="s">
        <v>133</v>
      </c>
      <c r="F8" s="135" t="s">
        <v>169</v>
      </c>
      <c r="G8" s="135" t="s">
        <v>170</v>
      </c>
      <c r="H8" s="136" t="s">
        <v>171</v>
      </c>
      <c r="I8" s="136" t="s">
        <v>172</v>
      </c>
      <c r="J8" s="136" t="s">
        <v>148</v>
      </c>
      <c r="K8" s="136" t="s">
        <v>149</v>
      </c>
      <c r="L8" s="136" t="s">
        <v>150</v>
      </c>
    </row>
    <row r="9" customFormat="false" ht="16.5" hidden="false" customHeight="true" outlineLevel="0" collapsed="false">
      <c r="B9" s="134" t="n">
        <v>0.0275</v>
      </c>
      <c r="C9" s="135" t="s">
        <v>173</v>
      </c>
      <c r="D9" s="135" t="s">
        <v>162</v>
      </c>
      <c r="E9" s="135" t="s">
        <v>174</v>
      </c>
      <c r="F9" s="135" t="s">
        <v>175</v>
      </c>
      <c r="G9" s="135" t="s">
        <v>176</v>
      </c>
      <c r="H9" s="136" t="s">
        <v>177</v>
      </c>
      <c r="I9" s="136" t="s">
        <v>136</v>
      </c>
      <c r="J9" s="136" t="s">
        <v>178</v>
      </c>
      <c r="K9" s="136" t="s">
        <v>158</v>
      </c>
      <c r="L9" s="136" t="s">
        <v>179</v>
      </c>
    </row>
    <row r="10" customFormat="false" ht="16.5" hidden="false" customHeight="true" outlineLevel="0" collapsed="false">
      <c r="B10" s="134" t="n">
        <v>0.03</v>
      </c>
      <c r="C10" s="135" t="s">
        <v>180</v>
      </c>
      <c r="D10" s="135" t="s">
        <v>168</v>
      </c>
      <c r="E10" s="135" t="s">
        <v>181</v>
      </c>
      <c r="F10" s="137" t="s">
        <v>133</v>
      </c>
      <c r="G10" s="135" t="s">
        <v>182</v>
      </c>
      <c r="H10" s="135" t="s">
        <v>183</v>
      </c>
      <c r="I10" s="136" t="s">
        <v>146</v>
      </c>
      <c r="J10" s="136" t="s">
        <v>184</v>
      </c>
      <c r="K10" s="136" t="s">
        <v>166</v>
      </c>
      <c r="L10" s="136" t="s">
        <v>138</v>
      </c>
    </row>
    <row r="11" customFormat="false" ht="16.5" hidden="false" customHeight="true" outlineLevel="0" collapsed="false">
      <c r="B11" s="134" t="n">
        <v>0.0325</v>
      </c>
      <c r="C11" s="138" t="s">
        <v>185</v>
      </c>
      <c r="D11" s="135" t="s">
        <v>173</v>
      </c>
      <c r="E11" s="135" t="s">
        <v>162</v>
      </c>
      <c r="F11" s="135" t="s">
        <v>174</v>
      </c>
      <c r="G11" s="135" t="s">
        <v>186</v>
      </c>
      <c r="H11" s="135" t="s">
        <v>187</v>
      </c>
      <c r="I11" s="136" t="s">
        <v>155</v>
      </c>
      <c r="J11" s="136" t="s">
        <v>156</v>
      </c>
      <c r="K11" s="136" t="s">
        <v>172</v>
      </c>
      <c r="L11" s="136" t="s">
        <v>148</v>
      </c>
    </row>
    <row r="12" customFormat="false" ht="16.5" hidden="false" customHeight="true" outlineLevel="0" collapsed="false">
      <c r="B12" s="134" t="n">
        <v>0.035</v>
      </c>
      <c r="C12" s="138" t="s">
        <v>188</v>
      </c>
      <c r="D12" s="135" t="s">
        <v>180</v>
      </c>
      <c r="E12" s="135" t="s">
        <v>168</v>
      </c>
      <c r="F12" s="135" t="s">
        <v>181</v>
      </c>
      <c r="G12" s="135" t="s">
        <v>189</v>
      </c>
      <c r="H12" s="135" t="s">
        <v>190</v>
      </c>
      <c r="I12" s="135" t="s">
        <v>163</v>
      </c>
      <c r="J12" s="136" t="s">
        <v>164</v>
      </c>
      <c r="K12" s="136" t="s">
        <v>136</v>
      </c>
      <c r="L12" s="136" t="s">
        <v>178</v>
      </c>
    </row>
    <row r="13" customFormat="false" ht="16.5" hidden="false" customHeight="true" outlineLevel="0" collapsed="false">
      <c r="B13" s="134" t="n">
        <v>0.0375</v>
      </c>
      <c r="C13" s="138" t="s">
        <v>191</v>
      </c>
      <c r="D13" s="138" t="s">
        <v>185</v>
      </c>
      <c r="E13" s="135" t="s">
        <v>173</v>
      </c>
      <c r="F13" s="135" t="s">
        <v>192</v>
      </c>
      <c r="G13" s="135" t="s">
        <v>193</v>
      </c>
      <c r="H13" s="135" t="s">
        <v>154</v>
      </c>
      <c r="I13" s="135" t="s">
        <v>134</v>
      </c>
      <c r="J13" s="135" t="s">
        <v>170</v>
      </c>
      <c r="K13" s="136" t="s">
        <v>194</v>
      </c>
      <c r="L13" s="136" t="s">
        <v>165</v>
      </c>
    </row>
    <row r="15" customFormat="false" ht="13.5" hidden="false" customHeight="true" outlineLevel="0" collapsed="false">
      <c r="B15" s="139" t="s">
        <v>195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</row>
  </sheetData>
  <mergeCells count="3">
    <mergeCell ref="B1:L1"/>
    <mergeCell ref="B2:L2"/>
    <mergeCell ref="B15:L15"/>
  </mergeCells>
  <printOptions headings="false" gridLines="false" gridLinesSet="true" horizontalCentered="false" verticalCentered="false"/>
  <pageMargins left="0.5" right="0.5" top="0.75" bottom="0.75" header="0.3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&amp;L&amp;"Arial,Bold"&amp;10 &amp;K0a1628EPPS.AI&amp;C&amp;"Arial,Regular"&amp;9 &amp;K6b7280IRR Sensitivity&amp;R&amp;"Arial,Regular"&amp;9 &amp;K6b7280Confidential</oddHeader>
    <oddFooter>&amp;C&amp;"Arial,Regular"&amp;9 &amp;K9ca3af[Asset Name] · Epps.ai Analysis&amp;R&amp;"Arial,Regular"&amp;9 &amp;K9ca3afPage &amp;P of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BD7E"/>
    <pageSetUpPr fitToPage="true"/>
  </sheetPr>
  <dimension ref="B1:L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5" activeCellId="0" sqref="H25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4"/>
    <col collapsed="false" customWidth="true" hidden="false" outlineLevel="0" max="13" min="3" style="0" width="10"/>
  </cols>
  <sheetData>
    <row r="1" customFormat="false" ht="27.75" hidden="false" customHeight="true" outlineLevel="0" collapsed="false">
      <c r="B1" s="130" t="s">
        <v>196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customFormat="false" ht="13.5" hidden="false" customHeight="true" outlineLevel="0" collapsed="false">
      <c r="B2" s="131" t="s">
        <v>131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customFormat="false" ht="19.5" hidden="false" customHeight="true" outlineLevel="0" collapsed="false">
      <c r="B3" s="132" t="s">
        <v>132</v>
      </c>
      <c r="C3" s="133" t="n">
        <v>0.045</v>
      </c>
      <c r="D3" s="133" t="n">
        <v>0.0475</v>
      </c>
      <c r="E3" s="133" t="n">
        <v>0.05</v>
      </c>
      <c r="F3" s="133" t="n">
        <v>0.0525</v>
      </c>
      <c r="G3" s="133" t="n">
        <v>0.055</v>
      </c>
      <c r="H3" s="133" t="n">
        <v>0.0575</v>
      </c>
      <c r="I3" s="133" t="n">
        <v>0.06</v>
      </c>
      <c r="J3" s="133" t="n">
        <v>0.0625</v>
      </c>
      <c r="K3" s="133" t="n">
        <v>0.065</v>
      </c>
      <c r="L3" s="133" t="n">
        <v>0.0675</v>
      </c>
    </row>
    <row r="4" customFormat="false" ht="16.5" hidden="false" customHeight="true" outlineLevel="0" collapsed="false">
      <c r="B4" s="134" t="n">
        <v>0.015</v>
      </c>
      <c r="C4" s="140" t="s">
        <v>197</v>
      </c>
      <c r="D4" s="140" t="s">
        <v>198</v>
      </c>
      <c r="E4" s="140" t="s">
        <v>199</v>
      </c>
      <c r="F4" s="140" t="s">
        <v>200</v>
      </c>
      <c r="G4" s="138" t="s">
        <v>201</v>
      </c>
      <c r="H4" s="138" t="s">
        <v>202</v>
      </c>
      <c r="I4" s="138" t="s">
        <v>203</v>
      </c>
      <c r="J4" s="138" t="s">
        <v>204</v>
      </c>
      <c r="K4" s="135" t="s">
        <v>205</v>
      </c>
      <c r="L4" s="135" t="s">
        <v>206</v>
      </c>
    </row>
    <row r="5" customFormat="false" ht="16.5" hidden="false" customHeight="true" outlineLevel="0" collapsed="false">
      <c r="B5" s="134" t="n">
        <v>0.0175</v>
      </c>
      <c r="C5" s="140" t="s">
        <v>207</v>
      </c>
      <c r="D5" s="140" t="s">
        <v>208</v>
      </c>
      <c r="E5" s="140" t="s">
        <v>209</v>
      </c>
      <c r="F5" s="140" t="s">
        <v>210</v>
      </c>
      <c r="G5" s="138" t="s">
        <v>211</v>
      </c>
      <c r="H5" s="138" t="s">
        <v>212</v>
      </c>
      <c r="I5" s="138" t="s">
        <v>213</v>
      </c>
      <c r="J5" s="138" t="s">
        <v>214</v>
      </c>
      <c r="K5" s="138" t="s">
        <v>215</v>
      </c>
      <c r="L5" s="135" t="s">
        <v>216</v>
      </c>
    </row>
    <row r="6" customFormat="false" ht="16.5" hidden="false" customHeight="true" outlineLevel="0" collapsed="false">
      <c r="B6" s="134" t="n">
        <v>0.02</v>
      </c>
      <c r="C6" s="140" t="s">
        <v>217</v>
      </c>
      <c r="D6" s="140" t="s">
        <v>218</v>
      </c>
      <c r="E6" s="140" t="s">
        <v>198</v>
      </c>
      <c r="F6" s="140" t="s">
        <v>219</v>
      </c>
      <c r="G6" s="140" t="s">
        <v>220</v>
      </c>
      <c r="H6" s="138" t="s">
        <v>221</v>
      </c>
      <c r="I6" s="138" t="s">
        <v>222</v>
      </c>
      <c r="J6" s="138" t="s">
        <v>223</v>
      </c>
      <c r="K6" s="138" t="s">
        <v>224</v>
      </c>
      <c r="L6" s="138" t="s">
        <v>225</v>
      </c>
    </row>
    <row r="7" customFormat="false" ht="16.5" hidden="false" customHeight="true" outlineLevel="0" collapsed="false">
      <c r="B7" s="134" t="n">
        <v>0.0225</v>
      </c>
      <c r="C7" s="140" t="s">
        <v>226</v>
      </c>
      <c r="D7" s="140" t="s">
        <v>227</v>
      </c>
      <c r="E7" s="140" t="s">
        <v>208</v>
      </c>
      <c r="F7" s="140" t="s">
        <v>209</v>
      </c>
      <c r="G7" s="140" t="s">
        <v>228</v>
      </c>
      <c r="H7" s="138" t="s">
        <v>229</v>
      </c>
      <c r="I7" s="138" t="s">
        <v>230</v>
      </c>
      <c r="J7" s="138" t="s">
        <v>231</v>
      </c>
      <c r="K7" s="138" t="s">
        <v>232</v>
      </c>
      <c r="L7" s="138" t="s">
        <v>204</v>
      </c>
    </row>
    <row r="8" customFormat="false" ht="16.5" hidden="false" customHeight="true" outlineLevel="0" collapsed="false">
      <c r="B8" s="134" t="n">
        <v>0.025</v>
      </c>
      <c r="C8" s="140" t="s">
        <v>233</v>
      </c>
      <c r="D8" s="140" t="s">
        <v>234</v>
      </c>
      <c r="E8" s="140" t="s">
        <v>218</v>
      </c>
      <c r="F8" s="140" t="s">
        <v>198</v>
      </c>
      <c r="G8" s="140" t="s">
        <v>235</v>
      </c>
      <c r="H8" s="140" t="s">
        <v>236</v>
      </c>
      <c r="I8" s="138" t="s">
        <v>237</v>
      </c>
      <c r="J8" s="138" t="s">
        <v>238</v>
      </c>
      <c r="K8" s="138" t="s">
        <v>239</v>
      </c>
      <c r="L8" s="138" t="s">
        <v>214</v>
      </c>
    </row>
    <row r="9" customFormat="false" ht="16.5" hidden="false" customHeight="true" outlineLevel="0" collapsed="false">
      <c r="B9" s="134" t="n">
        <v>0.0275</v>
      </c>
      <c r="C9" s="140" t="s">
        <v>240</v>
      </c>
      <c r="D9" s="140" t="s">
        <v>241</v>
      </c>
      <c r="E9" s="140" t="s">
        <v>242</v>
      </c>
      <c r="F9" s="140" t="s">
        <v>243</v>
      </c>
      <c r="G9" s="140" t="s">
        <v>244</v>
      </c>
      <c r="H9" s="140" t="s">
        <v>245</v>
      </c>
      <c r="I9" s="140" t="s">
        <v>246</v>
      </c>
      <c r="J9" s="138" t="s">
        <v>201</v>
      </c>
      <c r="K9" s="138" t="s">
        <v>247</v>
      </c>
      <c r="L9" s="138" t="s">
        <v>223</v>
      </c>
    </row>
    <row r="10" customFormat="false" ht="16.5" hidden="false" customHeight="true" outlineLevel="0" collapsed="false">
      <c r="B10" s="134" t="n">
        <v>0.03</v>
      </c>
      <c r="C10" s="140" t="s">
        <v>248</v>
      </c>
      <c r="D10" s="140" t="s">
        <v>249</v>
      </c>
      <c r="E10" s="140" t="s">
        <v>234</v>
      </c>
      <c r="F10" s="140" t="s">
        <v>218</v>
      </c>
      <c r="G10" s="141" t="s">
        <v>250</v>
      </c>
      <c r="H10" s="140" t="s">
        <v>251</v>
      </c>
      <c r="I10" s="140" t="s">
        <v>252</v>
      </c>
      <c r="J10" s="138" t="s">
        <v>211</v>
      </c>
      <c r="K10" s="138" t="s">
        <v>253</v>
      </c>
      <c r="L10" s="138" t="s">
        <v>231</v>
      </c>
    </row>
    <row r="11" customFormat="false" ht="16.5" hidden="false" customHeight="true" outlineLevel="0" collapsed="false">
      <c r="B11" s="134" t="n">
        <v>0.0325</v>
      </c>
      <c r="C11" s="140" t="s">
        <v>254</v>
      </c>
      <c r="D11" s="140" t="s">
        <v>255</v>
      </c>
      <c r="E11" s="140" t="s">
        <v>256</v>
      </c>
      <c r="F11" s="140" t="s">
        <v>227</v>
      </c>
      <c r="G11" s="140" t="s">
        <v>257</v>
      </c>
      <c r="H11" s="140" t="s">
        <v>258</v>
      </c>
      <c r="I11" s="140" t="s">
        <v>259</v>
      </c>
      <c r="J11" s="140" t="s">
        <v>260</v>
      </c>
      <c r="K11" s="138" t="s">
        <v>261</v>
      </c>
      <c r="L11" s="138" t="s">
        <v>262</v>
      </c>
    </row>
    <row r="12" customFormat="false" ht="16.5" hidden="false" customHeight="true" outlineLevel="0" collapsed="false">
      <c r="B12" s="134" t="n">
        <v>0.035</v>
      </c>
      <c r="C12" s="140" t="s">
        <v>263</v>
      </c>
      <c r="D12" s="140" t="s">
        <v>264</v>
      </c>
      <c r="E12" s="140" t="s">
        <v>265</v>
      </c>
      <c r="F12" s="140" t="s">
        <v>234</v>
      </c>
      <c r="G12" s="140" t="s">
        <v>197</v>
      </c>
      <c r="H12" s="140" t="s">
        <v>266</v>
      </c>
      <c r="I12" s="140" t="s">
        <v>267</v>
      </c>
      <c r="J12" s="140" t="s">
        <v>210</v>
      </c>
      <c r="K12" s="140" t="s">
        <v>268</v>
      </c>
      <c r="L12" s="138" t="s">
        <v>269</v>
      </c>
    </row>
    <row r="13" customFormat="false" ht="16.5" hidden="false" customHeight="true" outlineLevel="0" collapsed="false">
      <c r="B13" s="134" t="n">
        <v>0.0375</v>
      </c>
      <c r="C13" s="140" t="s">
        <v>270</v>
      </c>
      <c r="D13" s="140" t="s">
        <v>271</v>
      </c>
      <c r="E13" s="140" t="s">
        <v>255</v>
      </c>
      <c r="F13" s="140" t="s">
        <v>256</v>
      </c>
      <c r="G13" s="140" t="s">
        <v>207</v>
      </c>
      <c r="H13" s="140" t="s">
        <v>272</v>
      </c>
      <c r="I13" s="140" t="s">
        <v>273</v>
      </c>
      <c r="J13" s="140" t="s">
        <v>219</v>
      </c>
      <c r="K13" s="140" t="s">
        <v>274</v>
      </c>
      <c r="L13" s="138" t="s">
        <v>275</v>
      </c>
    </row>
    <row r="15" customFormat="false" ht="13.5" hidden="false" customHeight="true" outlineLevel="0" collapsed="false">
      <c r="B15" s="139" t="s">
        <v>195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</row>
  </sheetData>
  <mergeCells count="3">
    <mergeCell ref="B1:L1"/>
    <mergeCell ref="B2:L2"/>
    <mergeCell ref="B15:L15"/>
  </mergeCells>
  <printOptions headings="false" gridLines="false" gridLinesSet="true" horizontalCentered="false" verticalCentered="false"/>
  <pageMargins left="0.5" right="0.5" top="0.75" bottom="0.75" header="0.3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&amp;L&amp;"Arial,Bold"&amp;10 &amp;K0a1628EPPS.AI&amp;C&amp;"Arial,Regular"&amp;9 &amp;K6b7280EM Sensitivity&amp;R&amp;"Arial,Regular"&amp;9 &amp;K6b7280Confidential</oddHeader>
    <oddFooter>&amp;C&amp;"Arial,Regular"&amp;9 &amp;K9ca3af[Asset Name] · Epps.ai Analysis&amp;R&amp;"Arial,Regular"&amp;9 &amp;K9ca3afPage &amp;P of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2830"/>
    <pageSetUpPr fitToPage="true"/>
  </sheetPr>
  <dimension ref="A1:D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8.6328125" defaultRowHeight="14.2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1.27"/>
    <col collapsed="false" customWidth="true" hidden="false" outlineLevel="0" max="3" min="3" style="0" width="21.82"/>
    <col collapsed="false" customWidth="true" hidden="false" outlineLevel="0" max="4" min="4" style="0" width="25"/>
  </cols>
  <sheetData>
    <row r="1" customFormat="false" ht="14.25" hidden="false" customHeight="true" outlineLevel="0" collapsed="false">
      <c r="A1" s="142" t="s">
        <v>276</v>
      </c>
      <c r="B1" s="143"/>
      <c r="C1" s="143"/>
      <c r="D1" s="142"/>
    </row>
    <row r="2" customFormat="false" ht="18" hidden="false" customHeight="true" outlineLevel="0" collapsed="false">
      <c r="A2" s="144" t="s">
        <v>277</v>
      </c>
      <c r="B2" s="5"/>
      <c r="C2" s="5"/>
      <c r="D2" s="5"/>
    </row>
    <row r="3" customFormat="false" ht="16.5" hidden="false" customHeight="true" outlineLevel="0" collapsed="false">
      <c r="B3" s="110" t="s">
        <v>3</v>
      </c>
      <c r="C3" s="145" t="s">
        <v>278</v>
      </c>
      <c r="D3" s="146" t="s">
        <v>279</v>
      </c>
    </row>
    <row r="4" customFormat="false" ht="16.5" hidden="false" customHeight="true" outlineLevel="0" collapsed="false">
      <c r="B4" s="35" t="s">
        <v>4</v>
      </c>
      <c r="C4" s="147" t="s">
        <v>280</v>
      </c>
      <c r="D4" s="146" t="s">
        <v>279</v>
      </c>
    </row>
    <row r="5" customFormat="false" ht="16.5" hidden="false" customHeight="true" outlineLevel="0" collapsed="false">
      <c r="B5" s="35" t="s">
        <v>5</v>
      </c>
      <c r="C5" s="147" t="n">
        <v>2019</v>
      </c>
      <c r="D5" s="146" t="s">
        <v>279</v>
      </c>
    </row>
    <row r="6" customFormat="false" ht="16.5" hidden="false" customHeight="true" outlineLevel="0" collapsed="false">
      <c r="B6" s="35" t="s">
        <v>6</v>
      </c>
      <c r="C6" s="147" t="s">
        <v>281</v>
      </c>
      <c r="D6" s="146" t="s">
        <v>279</v>
      </c>
    </row>
    <row r="7" customFormat="false" ht="16.5" hidden="false" customHeight="true" outlineLevel="0" collapsed="false">
      <c r="B7" s="35" t="s">
        <v>10</v>
      </c>
      <c r="C7" s="147" t="s">
        <v>282</v>
      </c>
      <c r="D7" s="146" t="s">
        <v>279</v>
      </c>
    </row>
    <row r="9" customFormat="false" ht="18" hidden="false" customHeight="true" outlineLevel="0" collapsed="false">
      <c r="A9" s="148" t="s">
        <v>283</v>
      </c>
      <c r="B9" s="149"/>
      <c r="C9" s="149"/>
      <c r="D9" s="149"/>
    </row>
    <row r="10" customFormat="false" ht="16.5" hidden="false" customHeight="true" outlineLevel="0" collapsed="false">
      <c r="B10" s="110" t="s">
        <v>284</v>
      </c>
      <c r="C10" s="150" t="n">
        <v>26000000</v>
      </c>
      <c r="D10" s="146" t="s">
        <v>279</v>
      </c>
    </row>
    <row r="11" customFormat="false" ht="16.5" hidden="false" customHeight="true" outlineLevel="0" collapsed="false">
      <c r="B11" s="35" t="s">
        <v>285</v>
      </c>
      <c r="C11" s="151" t="n">
        <v>0.015</v>
      </c>
      <c r="D11" s="146" t="s">
        <v>279</v>
      </c>
    </row>
    <row r="12" customFormat="false" ht="16.5" hidden="false" customHeight="true" outlineLevel="0" collapsed="false">
      <c r="B12" s="35" t="s">
        <v>286</v>
      </c>
      <c r="C12" s="151" t="n">
        <v>0.6</v>
      </c>
      <c r="D12" s="146" t="s">
        <v>279</v>
      </c>
    </row>
    <row r="13" customFormat="false" ht="16.5" hidden="false" customHeight="true" outlineLevel="0" collapsed="false">
      <c r="B13" s="35" t="s">
        <v>287</v>
      </c>
      <c r="C13" s="152" t="n">
        <v>250000</v>
      </c>
      <c r="D13" s="146" t="s">
        <v>279</v>
      </c>
    </row>
    <row r="14" customFormat="false" ht="16.5" hidden="false" customHeight="true" outlineLevel="0" collapsed="false">
      <c r="B14" s="35" t="s">
        <v>288</v>
      </c>
      <c r="C14" s="153" t="n">
        <v>10</v>
      </c>
      <c r="D14" s="146" t="s">
        <v>279</v>
      </c>
    </row>
    <row r="15" customFormat="false" ht="16.5" hidden="false" customHeight="true" outlineLevel="0" collapsed="false">
      <c r="B15" s="35" t="s">
        <v>289</v>
      </c>
      <c r="C15" s="154" t="n">
        <v>0.055</v>
      </c>
      <c r="D15" s="146" t="s">
        <v>279</v>
      </c>
    </row>
    <row r="16" customFormat="false" ht="16.5" hidden="false" customHeight="true" outlineLevel="0" collapsed="false">
      <c r="B16" s="35" t="s">
        <v>290</v>
      </c>
      <c r="C16" s="151" t="n">
        <v>0.02</v>
      </c>
      <c r="D16" s="146" t="s">
        <v>279</v>
      </c>
    </row>
    <row r="18" customFormat="false" ht="18" hidden="false" customHeight="true" outlineLevel="0" collapsed="false">
      <c r="A18" s="148" t="s">
        <v>291</v>
      </c>
      <c r="B18" s="149"/>
      <c r="C18" s="149"/>
      <c r="D18" s="149"/>
    </row>
    <row r="19" customFormat="false" ht="16.5" hidden="false" customHeight="true" outlineLevel="0" collapsed="false">
      <c r="B19" s="35" t="s">
        <v>292</v>
      </c>
      <c r="C19" s="151" t="n">
        <v>0.05</v>
      </c>
      <c r="D19" s="146" t="s">
        <v>279</v>
      </c>
    </row>
    <row r="20" customFormat="false" ht="16.5" hidden="false" customHeight="true" outlineLevel="0" collapsed="false">
      <c r="B20" s="35" t="s">
        <v>293</v>
      </c>
      <c r="C20" s="152" t="n">
        <v>100</v>
      </c>
      <c r="D20" s="146" t="s">
        <v>279</v>
      </c>
    </row>
    <row r="21" customFormat="false" ht="16.5" hidden="false" customHeight="true" outlineLevel="0" collapsed="false">
      <c r="B21" s="35" t="s">
        <v>294</v>
      </c>
      <c r="C21" s="151" t="n">
        <v>0.03</v>
      </c>
      <c r="D21" s="146" t="s">
        <v>279</v>
      </c>
    </row>
    <row r="22" customFormat="false" ht="16.5" hidden="false" customHeight="true" outlineLevel="0" collapsed="false">
      <c r="B22" s="35" t="s">
        <v>295</v>
      </c>
      <c r="C22" s="151" t="n">
        <v>0.025</v>
      </c>
      <c r="D22" s="146" t="s">
        <v>279</v>
      </c>
    </row>
    <row r="23" customFormat="false" ht="16.5" hidden="false" customHeight="true" outlineLevel="0" collapsed="false">
      <c r="B23" s="35" t="s">
        <v>296</v>
      </c>
      <c r="C23" s="151" t="n">
        <v>0.25</v>
      </c>
      <c r="D23" s="146" t="s">
        <v>279</v>
      </c>
    </row>
    <row r="24" customFormat="false" ht="16.5" hidden="false" customHeight="true" outlineLevel="0" collapsed="false">
      <c r="B24" s="35" t="s">
        <v>297</v>
      </c>
      <c r="C24" s="152" t="n">
        <v>450</v>
      </c>
      <c r="D24" s="146" t="s">
        <v>279</v>
      </c>
    </row>
    <row r="25" customFormat="false" ht="16.5" hidden="false" customHeight="true" outlineLevel="0" collapsed="false">
      <c r="B25" s="35" t="s">
        <v>298</v>
      </c>
      <c r="C25" s="153" t="n">
        <v>21</v>
      </c>
      <c r="D25" s="146" t="s">
        <v>279</v>
      </c>
    </row>
    <row r="26" customFormat="false" ht="16.5" hidden="false" customHeight="true" outlineLevel="0" collapsed="false">
      <c r="B26" s="35" t="s">
        <v>299</v>
      </c>
      <c r="C26" s="151" t="n">
        <v>0.02</v>
      </c>
      <c r="D26" s="146" t="s">
        <v>279</v>
      </c>
    </row>
    <row r="28" customFormat="false" ht="18" hidden="false" customHeight="true" outlineLevel="0" collapsed="false">
      <c r="A28" s="148" t="s">
        <v>300</v>
      </c>
      <c r="B28" s="149"/>
      <c r="C28" s="149"/>
      <c r="D28" s="149"/>
    </row>
    <row r="29" customFormat="false" ht="16.5" hidden="false" customHeight="true" outlineLevel="0" collapsed="false">
      <c r="B29" s="35" t="s">
        <v>301</v>
      </c>
      <c r="C29" s="155" t="n">
        <v>190</v>
      </c>
      <c r="D29" s="146" t="s">
        <v>279</v>
      </c>
    </row>
    <row r="30" customFormat="false" ht="16.5" hidden="false" customHeight="true" outlineLevel="0" collapsed="false">
      <c r="B30" s="35" t="s">
        <v>302</v>
      </c>
      <c r="C30" s="155" t="n">
        <v>35</v>
      </c>
      <c r="D30" s="146" t="s">
        <v>279</v>
      </c>
    </row>
    <row r="31" customFormat="false" ht="16.5" hidden="false" customHeight="true" outlineLevel="0" collapsed="false">
      <c r="B31" s="35" t="s">
        <v>303</v>
      </c>
      <c r="C31" s="154" t="n">
        <v>0.0275</v>
      </c>
      <c r="D31" s="146" t="s">
        <v>279</v>
      </c>
    </row>
    <row r="32" customFormat="false" ht="16.5" hidden="false" customHeight="true" outlineLevel="0" collapsed="false">
      <c r="B32" s="35" t="s">
        <v>304</v>
      </c>
      <c r="C32" s="155" t="n">
        <v>130</v>
      </c>
      <c r="D32" s="146" t="s">
        <v>279</v>
      </c>
    </row>
    <row r="33" customFormat="false" ht="16.5" hidden="false" customHeight="true" outlineLevel="0" collapsed="false">
      <c r="B33" s="35" t="s">
        <v>305</v>
      </c>
      <c r="C33" s="155" t="n">
        <v>50</v>
      </c>
      <c r="D33" s="146" t="s">
        <v>279</v>
      </c>
    </row>
    <row r="34" customFormat="false" ht="16.5" hidden="false" customHeight="true" outlineLevel="0" collapsed="false">
      <c r="B34" s="35" t="s">
        <v>306</v>
      </c>
      <c r="C34" s="155" t="n">
        <v>18</v>
      </c>
      <c r="D34" s="146" t="s">
        <v>279</v>
      </c>
    </row>
    <row r="35" customFormat="false" ht="16.5" hidden="false" customHeight="true" outlineLevel="0" collapsed="false">
      <c r="B35" s="35" t="s">
        <v>307</v>
      </c>
      <c r="C35" s="155" t="n">
        <v>20</v>
      </c>
      <c r="D35" s="146" t="s">
        <v>279</v>
      </c>
    </row>
    <row r="36" customFormat="false" ht="16.5" hidden="false" customHeight="true" outlineLevel="0" collapsed="false">
      <c r="B36" s="35" t="s">
        <v>308</v>
      </c>
      <c r="C36" s="155" t="n">
        <v>35</v>
      </c>
      <c r="D36" s="146" t="s">
        <v>279</v>
      </c>
    </row>
    <row r="37" customFormat="false" ht="16.5" hidden="false" customHeight="true" outlineLevel="0" collapsed="false">
      <c r="B37" s="35" t="s">
        <v>309</v>
      </c>
      <c r="C37" s="155" t="n">
        <v>35</v>
      </c>
      <c r="D37" s="146" t="s">
        <v>279</v>
      </c>
    </row>
    <row r="38" customFormat="false" ht="16.5" hidden="false" customHeight="true" outlineLevel="0" collapsed="false">
      <c r="B38" s="35" t="s">
        <v>310</v>
      </c>
      <c r="C38" s="155" t="n">
        <v>75</v>
      </c>
      <c r="D38" s="146" t="s">
        <v>279</v>
      </c>
    </row>
    <row r="39" customFormat="false" ht="16.5" hidden="false" customHeight="true" outlineLevel="0" collapsed="false">
      <c r="B39" s="35" t="s">
        <v>311</v>
      </c>
      <c r="C39" s="155" t="n">
        <v>95</v>
      </c>
      <c r="D39" s="146" t="s">
        <v>279</v>
      </c>
    </row>
    <row r="40" customFormat="false" ht="16.5" hidden="false" customHeight="true" outlineLevel="0" collapsed="false">
      <c r="B40" s="35" t="s">
        <v>312</v>
      </c>
      <c r="C40" s="155" t="n">
        <v>35</v>
      </c>
      <c r="D40" s="146" t="s">
        <v>279</v>
      </c>
    </row>
    <row r="41" customFormat="false" ht="14.25" hidden="false" customHeight="true" outlineLevel="0" collapsed="false">
      <c r="B41" s="156" t="s">
        <v>313</v>
      </c>
      <c r="C41" s="154" t="n">
        <v>0.025</v>
      </c>
      <c r="D41" s="146" t="s">
        <v>314</v>
      </c>
    </row>
    <row r="42" customFormat="false" ht="14.25" hidden="false" customHeight="true" outlineLevel="0" collapsed="false">
      <c r="A42" s="157"/>
      <c r="B42" s="158"/>
      <c r="C42" s="159"/>
      <c r="D42" s="157"/>
    </row>
    <row r="43" customFormat="false" ht="14.25" hidden="false" customHeight="true" outlineLevel="0" collapsed="false">
      <c r="A43" s="160" t="s">
        <v>276</v>
      </c>
      <c r="B43" s="161"/>
      <c r="C43" s="162"/>
      <c r="D43" s="143"/>
    </row>
    <row r="44" customFormat="false" ht="18" hidden="false" customHeight="true" outlineLevel="0" collapsed="false">
      <c r="A44" s="148" t="s">
        <v>315</v>
      </c>
      <c r="B44" s="149"/>
      <c r="C44" s="149"/>
      <c r="D44" s="149"/>
    </row>
    <row r="45" customFormat="false" ht="16.5" hidden="false" customHeight="true" outlineLevel="0" collapsed="false">
      <c r="B45" s="35" t="s">
        <v>316</v>
      </c>
      <c r="C45" s="154" t="n">
        <v>0.0575</v>
      </c>
      <c r="D45" s="146" t="s">
        <v>279</v>
      </c>
    </row>
    <row r="46" customFormat="false" ht="16.5" hidden="false" customHeight="true" outlineLevel="0" collapsed="false">
      <c r="B46" s="35" t="s">
        <v>317</v>
      </c>
      <c r="C46" s="153" t="n">
        <v>2</v>
      </c>
      <c r="D46" s="146" t="s">
        <v>279</v>
      </c>
    </row>
    <row r="47" customFormat="false" ht="16.5" hidden="false" customHeight="true" outlineLevel="0" collapsed="false">
      <c r="B47" s="35" t="s">
        <v>318</v>
      </c>
      <c r="C47" s="153" t="n">
        <v>30</v>
      </c>
      <c r="D47" s="146" t="s">
        <v>279</v>
      </c>
    </row>
    <row r="48" customFormat="false" ht="16.5" hidden="false" customHeight="true" outlineLevel="0" collapsed="false">
      <c r="B48" s="35" t="s">
        <v>319</v>
      </c>
      <c r="C48" s="153" t="n">
        <v>10</v>
      </c>
      <c r="D48" s="146" t="s">
        <v>279</v>
      </c>
    </row>
    <row r="49" customFormat="false" ht="16.5" hidden="false" customHeight="true" outlineLevel="0" collapsed="false">
      <c r="B49" s="35" t="s">
        <v>320</v>
      </c>
      <c r="C49" s="151" t="n">
        <v>0.01</v>
      </c>
      <c r="D49" s="146" t="s">
        <v>279</v>
      </c>
    </row>
    <row r="51" customFormat="false" ht="18" hidden="false" customHeight="true" outlineLevel="0" collapsed="false">
      <c r="A51" s="148" t="s">
        <v>321</v>
      </c>
      <c r="B51" s="148"/>
      <c r="C51" s="148"/>
      <c r="D51" s="148"/>
    </row>
    <row r="52" customFormat="false" ht="16.5" hidden="false" customHeight="true" outlineLevel="0" collapsed="false">
      <c r="B52" s="35" t="s">
        <v>322</v>
      </c>
      <c r="C52" s="152" t="n">
        <v>10000</v>
      </c>
      <c r="D52" s="146" t="s">
        <v>279</v>
      </c>
    </row>
    <row r="53" customFormat="false" ht="16.5" hidden="false" customHeight="true" outlineLevel="0" collapsed="false">
      <c r="B53" s="35" t="s">
        <v>323</v>
      </c>
      <c r="C53" s="153" t="n">
        <f aca="false">'Rent Roll'!C94*0.65</f>
        <v>58.5</v>
      </c>
      <c r="D53" s="146" t="s">
        <v>279</v>
      </c>
    </row>
    <row r="54" customFormat="false" ht="16.5" hidden="false" customHeight="true" outlineLevel="0" collapsed="false">
      <c r="B54" s="35" t="s">
        <v>324</v>
      </c>
      <c r="C54" s="153" t="n">
        <v>2</v>
      </c>
      <c r="D54" s="146" t="s">
        <v>279</v>
      </c>
    </row>
    <row r="55" customFormat="false" ht="16.5" hidden="false" customHeight="true" outlineLevel="0" collapsed="false">
      <c r="B55" s="35" t="s">
        <v>325</v>
      </c>
      <c r="C55" s="152" t="n">
        <v>125</v>
      </c>
      <c r="D55" s="146" t="s">
        <v>279</v>
      </c>
    </row>
    <row r="57" customFormat="false" ht="18" hidden="false" customHeight="true" outlineLevel="0" collapsed="false">
      <c r="A57" s="148" t="s">
        <v>326</v>
      </c>
      <c r="B57" s="148"/>
      <c r="C57" s="148"/>
      <c r="D57" s="148"/>
    </row>
    <row r="58" customFormat="false" ht="16.5" hidden="false" customHeight="true" outlineLevel="0" collapsed="false">
      <c r="B58" s="35" t="s">
        <v>123</v>
      </c>
      <c r="C58" s="151" t="n">
        <v>0.1</v>
      </c>
      <c r="D58" s="146" t="s">
        <v>279</v>
      </c>
    </row>
    <row r="59" customFormat="false" ht="16.5" hidden="false" customHeight="true" outlineLevel="0" collapsed="false">
      <c r="B59" s="35" t="s">
        <v>126</v>
      </c>
      <c r="C59" s="151" t="n">
        <v>0.08</v>
      </c>
      <c r="D59" s="146" t="s">
        <v>279</v>
      </c>
    </row>
    <row r="60" customFormat="false" ht="16.5" hidden="false" customHeight="true" outlineLevel="0" collapsed="false">
      <c r="B60" s="35" t="s">
        <v>327</v>
      </c>
      <c r="C60" s="151" t="n">
        <v>0.12</v>
      </c>
      <c r="D60" s="146" t="s">
        <v>279</v>
      </c>
    </row>
    <row r="61" customFormat="false" ht="16.5" hidden="false" customHeight="true" outlineLevel="0" collapsed="false">
      <c r="B61" s="35" t="s">
        <v>328</v>
      </c>
      <c r="C61" s="151" t="n">
        <v>0.2</v>
      </c>
      <c r="D61" s="146" t="s">
        <v>279</v>
      </c>
    </row>
    <row r="62" customFormat="false" ht="16.5" hidden="false" customHeight="true" outlineLevel="0" collapsed="false">
      <c r="B62" s="35" t="s">
        <v>329</v>
      </c>
      <c r="C62" s="151" t="n">
        <v>0.15</v>
      </c>
      <c r="D62" s="146" t="s">
        <v>279</v>
      </c>
    </row>
    <row r="63" customFormat="false" ht="16.5" hidden="false" customHeight="true" outlineLevel="0" collapsed="false">
      <c r="B63" s="35" t="s">
        <v>330</v>
      </c>
      <c r="C63" s="151" t="n">
        <v>0.3</v>
      </c>
      <c r="D63" s="146" t="s">
        <v>279</v>
      </c>
    </row>
    <row r="64" customFormat="false" ht="16.5" hidden="false" customHeight="true" outlineLevel="0" collapsed="false">
      <c r="B64" s="35" t="s">
        <v>118</v>
      </c>
      <c r="C64" s="151" t="n">
        <v>0.01</v>
      </c>
      <c r="D64" s="146" t="s">
        <v>279</v>
      </c>
    </row>
    <row r="65" customFormat="false" ht="16.5" hidden="false" customHeight="true" outlineLevel="0" collapsed="false">
      <c r="B65" s="35" t="s">
        <v>331</v>
      </c>
      <c r="C65" s="151" t="n">
        <v>0.01</v>
      </c>
      <c r="D65" s="146" t="s">
        <v>279</v>
      </c>
    </row>
    <row r="66" customFormat="false" ht="16.5" hidden="false" customHeight="true" outlineLevel="0" collapsed="false">
      <c r="B66" s="35" t="s">
        <v>120</v>
      </c>
      <c r="C66" s="151" t="n">
        <v>0.01</v>
      </c>
      <c r="D66" s="146" t="s">
        <v>279</v>
      </c>
    </row>
    <row r="68" customFormat="false" ht="18" hidden="false" customHeight="true" outlineLevel="0" collapsed="false">
      <c r="A68" s="148" t="s">
        <v>332</v>
      </c>
      <c r="B68" s="148"/>
      <c r="C68" s="148"/>
      <c r="D68" s="148"/>
    </row>
    <row r="69" customFormat="false" ht="16.5" hidden="false" customHeight="true" outlineLevel="0" collapsed="false">
      <c r="B69" s="35" t="s">
        <v>333</v>
      </c>
      <c r="C69" s="151" t="n">
        <v>0.015</v>
      </c>
      <c r="D69" s="146" t="s">
        <v>279</v>
      </c>
    </row>
    <row r="70" customFormat="false" ht="16.5" hidden="false" customHeight="true" outlineLevel="0" collapsed="false">
      <c r="B70" s="35" t="s">
        <v>334</v>
      </c>
      <c r="C70" s="154" t="n">
        <v>0.0025</v>
      </c>
      <c r="D70" s="146" t="s">
        <v>279</v>
      </c>
    </row>
    <row r="71" customFormat="false" ht="16.5" hidden="false" customHeight="true" outlineLevel="0" collapsed="false">
      <c r="B71" s="35" t="s">
        <v>335</v>
      </c>
      <c r="C71" s="154" t="n">
        <v>0.045</v>
      </c>
      <c r="D71" s="146" t="s">
        <v>279</v>
      </c>
    </row>
    <row r="72" customFormat="false" ht="16.5" hidden="false" customHeight="true" outlineLevel="0" collapsed="false">
      <c r="B72" s="35" t="s">
        <v>336</v>
      </c>
      <c r="C72" s="154" t="n">
        <v>0.0025</v>
      </c>
      <c r="D72" s="146" t="s">
        <v>279</v>
      </c>
    </row>
  </sheetData>
  <printOptions headings="false" gridLines="false" gridLinesSet="true" horizontalCentered="false" verticalCentered="false"/>
  <pageMargins left="0.5" right="0.5" top="0.75" bottom="0.75" header="0.3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&amp;L&amp;"Arial,Bold"&amp;10 &amp;K0a1628EPPS.AI&amp;C&amp;"Arial,Regular"&amp;9 &amp;K6b7280Assumptions&amp;R&amp;"Arial,Regular"&amp;9 &amp;K6b7280Confidential</oddHeader>
    <oddFooter>&amp;C&amp;"Arial,Regular"&amp;9 &amp;K9ca3af[Asset Name] · Epps.ai Analysis&amp;R&amp;"Arial,Regular"&amp;9 &amp;K9ca3afPage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2026-05-24T22:23:28Z</dcterms:created>
  <dc:creator>openpyxl</dc:creator>
  <dc:description/>
  <dc:language>en-US</dc:language>
  <cp:lastModifiedBy>Olesya Epps</cp:lastModifiedBy>
  <dcterms:modified xsi:type="dcterms:W3CDTF">2026-05-25T07:09:07Z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